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et5" sheetId="1" r:id="rId4"/>
    <sheet state="visible" name="AlexNet" sheetId="2" r:id="rId5"/>
    <sheet state="visible" name="ZFNet" sheetId="3" r:id="rId6"/>
    <sheet state="visible" name="VGG16" sheetId="4" r:id="rId7"/>
    <sheet state="visible" name="VGG19" sheetId="5" r:id="rId8"/>
  </sheets>
  <definedNames/>
  <calcPr/>
</workbook>
</file>

<file path=xl/sharedStrings.xml><?xml version="1.0" encoding="utf-8"?>
<sst xmlns="http://schemas.openxmlformats.org/spreadsheetml/2006/main" count="168" uniqueCount="73">
  <si>
    <t>Input</t>
  </si>
  <si>
    <t>Kernel</t>
  </si>
  <si>
    <t>Output</t>
  </si>
  <si>
    <t>Layers</t>
  </si>
  <si>
    <t>C</t>
  </si>
  <si>
    <t>H,W</t>
  </si>
  <si>
    <t>n_kernel</t>
  </si>
  <si>
    <t>k</t>
  </si>
  <si>
    <t>S</t>
  </si>
  <si>
    <t>P</t>
  </si>
  <si>
    <t>Memory(Kb)</t>
  </si>
  <si>
    <t>Nb parameters</t>
  </si>
  <si>
    <t>FLOP</t>
  </si>
  <si>
    <t>Conv1</t>
  </si>
  <si>
    <t>18.375</t>
  </si>
  <si>
    <t>117,600.00</t>
  </si>
  <si>
    <t>Pooling1</t>
  </si>
  <si>
    <t>4.59375</t>
  </si>
  <si>
    <t>28,224.00</t>
  </si>
  <si>
    <t>Conv2</t>
  </si>
  <si>
    <t>6.25</t>
  </si>
  <si>
    <t>240,000.00</t>
  </si>
  <si>
    <t>Pooling2</t>
  </si>
  <si>
    <t>25,600.00</t>
  </si>
  <si>
    <t>FullyConnected</t>
  </si>
  <si>
    <t>0.46875</t>
  </si>
  <si>
    <t>230,400.00</t>
  </si>
  <si>
    <t>0.328125</t>
  </si>
  <si>
    <t>846,720.00</t>
  </si>
  <si>
    <t>0.0390625</t>
  </si>
  <si>
    <t>8,400.00</t>
  </si>
  <si>
    <t>Input size</t>
  </si>
  <si>
    <t>Layer</t>
  </si>
  <si>
    <t>H/W</t>
  </si>
  <si>
    <t>Filters</t>
  </si>
  <si>
    <t>kernel</t>
  </si>
  <si>
    <t>stride</t>
  </si>
  <si>
    <t>pad</t>
  </si>
  <si>
    <t>memory</t>
  </si>
  <si>
    <t>Nb params</t>
  </si>
  <si>
    <t>flop</t>
  </si>
  <si>
    <t>conv1</t>
  </si>
  <si>
    <t>pool1</t>
  </si>
  <si>
    <t>conv2</t>
  </si>
  <si>
    <t>pool2</t>
  </si>
  <si>
    <t>conv3</t>
  </si>
  <si>
    <t>conv4</t>
  </si>
  <si>
    <t>conv5</t>
  </si>
  <si>
    <t>pool5</t>
  </si>
  <si>
    <t>flatten</t>
  </si>
  <si>
    <t>fc6</t>
  </si>
  <si>
    <t>fc7</t>
  </si>
  <si>
    <t>fc8</t>
  </si>
  <si>
    <t>Total</t>
  </si>
  <si>
    <t>padding</t>
  </si>
  <si>
    <t>pool4</t>
  </si>
  <si>
    <t>conv6</t>
  </si>
  <si>
    <t>conv7</t>
  </si>
  <si>
    <t>pool7</t>
  </si>
  <si>
    <t>conv8</t>
  </si>
  <si>
    <t>conv9</t>
  </si>
  <si>
    <t>conv10</t>
  </si>
  <si>
    <t>pool10</t>
  </si>
  <si>
    <t>conv11</t>
  </si>
  <si>
    <t>conv12</t>
  </si>
  <si>
    <t>conv13</t>
  </si>
  <si>
    <t>pool13</t>
  </si>
  <si>
    <t>fc1</t>
  </si>
  <si>
    <t>fc2</t>
  </si>
  <si>
    <t>fc3</t>
  </si>
  <si>
    <t>conv7prim</t>
  </si>
  <si>
    <t>conv10prim</t>
  </si>
  <si>
    <t>conv13prim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</si>
</sst>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yyyy"/>
  </numFmts>
  <fonts count="10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color theme="1"/>
      <name val="Arial"/>
    </font>
    <font>
      <b/>
      <color theme="1"/>
      <name val="Arial"/>
    </font>
    <font>
      <sz val="10.0"/>
      <color rgb="FF000000"/>
      <name val="Calibri"/>
    </font>
    <font>
      <sz val="10.0"/>
      <color theme="1"/>
      <name val="Arial"/>
    </font>
    <font>
      <b/>
    </font>
    <font>
      <sz val="10.0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2" fillId="0" fontId="1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" numFmtId="164" xfId="0" applyAlignment="1" applyBorder="1" applyFont="1" applyNumberFormat="1">
      <alignment horizontal="right" readingOrder="0" shrinkToFit="0" vertical="bottom" wrapText="0"/>
    </xf>
    <xf borderId="4" fillId="0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0" fillId="0" fontId="7" numFmtId="0" xfId="0" applyFont="1"/>
    <xf borderId="4" fillId="0" fontId="7" numFmtId="0" xfId="0" applyAlignment="1" applyBorder="1" applyFont="1">
      <alignment readingOrder="0"/>
    </xf>
    <xf borderId="4" fillId="0" fontId="7" numFmtId="0" xfId="0" applyBorder="1" applyFont="1"/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4" fillId="0" fontId="9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4" t="s">
        <v>1</v>
      </c>
      <c r="E1" s="5"/>
      <c r="F1" s="5"/>
      <c r="G1" s="3"/>
      <c r="H1" s="4" t="s">
        <v>2</v>
      </c>
      <c r="I1" s="3"/>
      <c r="J1" s="6"/>
      <c r="K1" s="6"/>
      <c r="L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4</v>
      </c>
      <c r="I2" s="8" t="s">
        <v>5</v>
      </c>
      <c r="J2" s="8" t="s">
        <v>10</v>
      </c>
      <c r="K2" s="8" t="s">
        <v>11</v>
      </c>
      <c r="L2" s="8" t="s">
        <v>12</v>
      </c>
    </row>
    <row r="3">
      <c r="A3" s="9" t="s">
        <v>13</v>
      </c>
      <c r="B3" s="10">
        <v>1.0</v>
      </c>
      <c r="C3" s="10">
        <v>28.0</v>
      </c>
      <c r="D3" s="10">
        <v>6.0</v>
      </c>
      <c r="E3" s="10">
        <v>5.0</v>
      </c>
      <c r="F3" s="10">
        <v>1.0</v>
      </c>
      <c r="G3" s="10">
        <v>2.0</v>
      </c>
      <c r="H3" s="10">
        <v>6.0</v>
      </c>
      <c r="I3" s="10">
        <v>28.0</v>
      </c>
      <c r="J3" s="10" t="s">
        <v>14</v>
      </c>
      <c r="K3" s="10">
        <v>156.0</v>
      </c>
      <c r="L3" s="11" t="s">
        <v>15</v>
      </c>
    </row>
    <row r="4">
      <c r="A4" s="9" t="s">
        <v>16</v>
      </c>
      <c r="B4" s="10">
        <v>6.0</v>
      </c>
      <c r="C4" s="10">
        <v>28.0</v>
      </c>
      <c r="D4" s="10">
        <v>0.0</v>
      </c>
      <c r="E4" s="10">
        <v>2.0</v>
      </c>
      <c r="F4" s="10">
        <v>2.0</v>
      </c>
      <c r="G4" s="10">
        <v>0.0</v>
      </c>
      <c r="H4" s="10">
        <v>6.0</v>
      </c>
      <c r="I4" s="10">
        <v>14.0</v>
      </c>
      <c r="J4" s="10" t="s">
        <v>17</v>
      </c>
      <c r="K4" s="10">
        <v>0.0</v>
      </c>
      <c r="L4" s="11" t="s">
        <v>18</v>
      </c>
    </row>
    <row r="5">
      <c r="A5" s="9" t="s">
        <v>19</v>
      </c>
      <c r="B5" s="10">
        <v>6.0</v>
      </c>
      <c r="C5" s="10">
        <v>14.0</v>
      </c>
      <c r="D5" s="10">
        <v>16.0</v>
      </c>
      <c r="E5" s="10">
        <v>5.0</v>
      </c>
      <c r="F5" s="10">
        <v>1.0</v>
      </c>
      <c r="G5" s="10">
        <v>0.0</v>
      </c>
      <c r="H5" s="10">
        <v>16.0</v>
      </c>
      <c r="I5" s="10">
        <v>10.0</v>
      </c>
      <c r="J5" s="10" t="s">
        <v>20</v>
      </c>
      <c r="K5" s="10">
        <v>2416.0</v>
      </c>
      <c r="L5" s="11" t="s">
        <v>21</v>
      </c>
    </row>
    <row r="6">
      <c r="A6" s="9" t="s">
        <v>22</v>
      </c>
      <c r="B6" s="10">
        <v>16.0</v>
      </c>
      <c r="C6" s="10">
        <v>10.0</v>
      </c>
      <c r="D6" s="10">
        <v>0.0</v>
      </c>
      <c r="E6" s="10">
        <v>2.0</v>
      </c>
      <c r="F6" s="10">
        <v>2.0</v>
      </c>
      <c r="G6" s="10">
        <v>0.0</v>
      </c>
      <c r="H6" s="10">
        <v>16.0</v>
      </c>
      <c r="I6" s="10">
        <v>5.0</v>
      </c>
      <c r="J6" s="12">
        <v>1360531.0</v>
      </c>
      <c r="K6" s="10">
        <v>0.0</v>
      </c>
      <c r="L6" s="11" t="s">
        <v>23</v>
      </c>
    </row>
    <row r="7">
      <c r="A7" s="9" t="s">
        <v>24</v>
      </c>
      <c r="B7" s="10">
        <v>16.0</v>
      </c>
      <c r="C7" s="10">
        <v>5.0</v>
      </c>
      <c r="D7" s="10">
        <v>120.0</v>
      </c>
      <c r="E7" s="10">
        <v>0.0</v>
      </c>
      <c r="F7" s="10">
        <v>0.0</v>
      </c>
      <c r="G7" s="10">
        <v>0.0</v>
      </c>
      <c r="H7" s="10">
        <v>120.0</v>
      </c>
      <c r="I7" s="10">
        <v>1.0</v>
      </c>
      <c r="J7" s="10" t="s">
        <v>25</v>
      </c>
      <c r="K7" s="10">
        <v>2040.0</v>
      </c>
      <c r="L7" s="11" t="s">
        <v>26</v>
      </c>
    </row>
    <row r="8">
      <c r="A8" s="9" t="s">
        <v>24</v>
      </c>
      <c r="B8" s="10">
        <v>120.0</v>
      </c>
      <c r="C8" s="10">
        <v>1.0</v>
      </c>
      <c r="D8" s="10">
        <v>84.0</v>
      </c>
      <c r="E8" s="10">
        <v>0.0</v>
      </c>
      <c r="F8" s="10">
        <v>0.0</v>
      </c>
      <c r="G8" s="10">
        <v>0.0</v>
      </c>
      <c r="H8" s="10">
        <v>84.0</v>
      </c>
      <c r="I8" s="10">
        <v>1.0</v>
      </c>
      <c r="J8" s="10" t="s">
        <v>27</v>
      </c>
      <c r="K8" s="10">
        <v>10164.0</v>
      </c>
      <c r="L8" s="11" t="s">
        <v>28</v>
      </c>
    </row>
    <row r="9">
      <c r="A9" s="9" t="s">
        <v>24</v>
      </c>
      <c r="B9" s="10">
        <v>84.0</v>
      </c>
      <c r="C9" s="10">
        <v>1.0</v>
      </c>
      <c r="D9" s="10">
        <v>10.0</v>
      </c>
      <c r="E9" s="10">
        <v>0.0</v>
      </c>
      <c r="F9" s="10">
        <v>0.0</v>
      </c>
      <c r="G9" s="10">
        <v>0.0</v>
      </c>
      <c r="H9" s="10">
        <v>10.0</v>
      </c>
      <c r="I9" s="10">
        <v>1.0</v>
      </c>
      <c r="J9" s="10" t="s">
        <v>29</v>
      </c>
      <c r="K9" s="10">
        <v>840.0</v>
      </c>
      <c r="L9" s="11" t="s">
        <v>30</v>
      </c>
    </row>
  </sheetData>
  <mergeCells count="3">
    <mergeCell ref="B1:C1"/>
    <mergeCell ref="D1:G1"/>
    <mergeCell ref="H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/>
      <c r="B1" s="14" t="s">
        <v>31</v>
      </c>
      <c r="C1" s="3"/>
      <c r="D1" s="14" t="s">
        <v>1</v>
      </c>
      <c r="E1" s="5"/>
      <c r="F1" s="5"/>
      <c r="G1" s="3"/>
      <c r="H1" s="15" t="s">
        <v>2</v>
      </c>
      <c r="I1" s="3"/>
      <c r="J1" s="13"/>
      <c r="K1" s="13"/>
      <c r="L1" s="13"/>
    </row>
    <row r="2">
      <c r="A2" s="16" t="s">
        <v>32</v>
      </c>
      <c r="B2" s="16" t="s">
        <v>4</v>
      </c>
      <c r="C2" s="16" t="s">
        <v>33</v>
      </c>
      <c r="D2" s="16" t="s">
        <v>34</v>
      </c>
      <c r="E2" s="16" t="s">
        <v>35</v>
      </c>
      <c r="F2" s="16" t="s">
        <v>36</v>
      </c>
      <c r="G2" s="16" t="s">
        <v>37</v>
      </c>
      <c r="H2" s="16" t="s">
        <v>4</v>
      </c>
      <c r="I2" s="16" t="s">
        <v>33</v>
      </c>
      <c r="J2" s="16" t="s">
        <v>38</v>
      </c>
      <c r="K2" s="16" t="s">
        <v>39</v>
      </c>
      <c r="L2" s="16" t="s">
        <v>40</v>
      </c>
    </row>
    <row r="3">
      <c r="A3" s="17" t="s">
        <v>41</v>
      </c>
      <c r="B3" s="17">
        <v>3.0</v>
      </c>
      <c r="C3" s="18">
        <v>224.0</v>
      </c>
      <c r="D3" s="18">
        <v>96.0</v>
      </c>
      <c r="E3" s="17">
        <v>11.0</v>
      </c>
      <c r="F3" s="17">
        <v>4.0</v>
      </c>
      <c r="G3" s="18">
        <v>1.0</v>
      </c>
      <c r="H3" s="13">
        <f>IFERROR(__xludf.DUMMYFUNCTION("IF(REGEXMATCH(A3,""conv""),D3, IF(REGEXMATCH(A3,""pool""),B3))"),96.0)</f>
        <v>96</v>
      </c>
      <c r="I3" s="13">
        <f t="shared" ref="I3:I10" si="2">_xlfn.FLOOR.MATH((C3-E3+2*G3)/F3+1)</f>
        <v>54</v>
      </c>
      <c r="J3" s="13">
        <f t="shared" ref="J3:J10" si="3">_xlfn.FLOOR.PRECISE(H3*I3*I3*4/1024)</f>
        <v>1093</v>
      </c>
      <c r="K3" s="13">
        <f>IFERROR(__xludf.DUMMYFUNCTION("IF(REGEXMATCH(A3,""conv""),H3*B3*E3*E3+H3 , IF(REGEXMATCH(A3,""pool""),0))"),34944.0)</f>
        <v>34944</v>
      </c>
      <c r="L3" s="13"/>
    </row>
    <row r="4">
      <c r="A4" s="19" t="s">
        <v>42</v>
      </c>
      <c r="B4" s="19">
        <f t="shared" ref="B4:C4" si="1">H3</f>
        <v>96</v>
      </c>
      <c r="C4" s="19">
        <f t="shared" si="1"/>
        <v>54</v>
      </c>
      <c r="D4" s="19">
        <v>0.0</v>
      </c>
      <c r="E4" s="19">
        <v>3.0</v>
      </c>
      <c r="F4" s="19">
        <v>2.0</v>
      </c>
      <c r="G4" s="19">
        <v>0.0</v>
      </c>
      <c r="H4" s="13">
        <f>IFERROR(__xludf.DUMMYFUNCTION("IF(REGEXMATCH(A4,""conv""),D4, IF(REGEXMATCH(A4,""pool""),B4))"),96.0)</f>
        <v>96</v>
      </c>
      <c r="I4" s="13">
        <f t="shared" si="2"/>
        <v>26</v>
      </c>
      <c r="J4" s="13">
        <f t="shared" si="3"/>
        <v>253</v>
      </c>
      <c r="K4" s="13">
        <f>IFERROR(__xludf.DUMMYFUNCTION("IF(REGEXMATCH(A4,""conv""),H4*B4*E4*E4+H4 , IF(REGEXMATCH(A4,""pool""),0))"),0.0)</f>
        <v>0</v>
      </c>
      <c r="L4" s="13"/>
    </row>
    <row r="5">
      <c r="A5" s="19" t="s">
        <v>43</v>
      </c>
      <c r="B5" s="19">
        <f t="shared" ref="B5:C5" si="4">H4</f>
        <v>96</v>
      </c>
      <c r="C5" s="19">
        <f t="shared" si="4"/>
        <v>26</v>
      </c>
      <c r="D5" s="19">
        <v>256.0</v>
      </c>
      <c r="E5" s="19">
        <v>5.0</v>
      </c>
      <c r="F5" s="19">
        <v>1.0</v>
      </c>
      <c r="G5" s="19">
        <v>1.0</v>
      </c>
      <c r="H5" s="13">
        <f>IFERROR(__xludf.DUMMYFUNCTION("IF(REGEXMATCH(A5,""conv""),D5, IF(REGEXMATCH(A5,""pool""),B5))"),256.0)</f>
        <v>256</v>
      </c>
      <c r="I5" s="13">
        <f t="shared" si="2"/>
        <v>24</v>
      </c>
      <c r="J5" s="13">
        <f t="shared" si="3"/>
        <v>576</v>
      </c>
      <c r="K5" s="13">
        <f>IFERROR(__xludf.DUMMYFUNCTION("IF(REGEXMATCH(A5,""conv""),H5*B5*E5*E5+H5 , IF(REGEXMATCH(A5,""pool""),0))"),614656.0)</f>
        <v>614656</v>
      </c>
      <c r="L5" s="19"/>
    </row>
    <row r="6">
      <c r="A6" s="19" t="s">
        <v>44</v>
      </c>
      <c r="B6" s="19">
        <f t="shared" ref="B6:C6" si="5">H5</f>
        <v>256</v>
      </c>
      <c r="C6" s="19">
        <f t="shared" si="5"/>
        <v>24</v>
      </c>
      <c r="D6" s="19">
        <v>0.0</v>
      </c>
      <c r="E6" s="19">
        <v>3.0</v>
      </c>
      <c r="F6" s="19">
        <v>2.0</v>
      </c>
      <c r="G6" s="19">
        <v>0.0</v>
      </c>
      <c r="H6" s="13">
        <f>IFERROR(__xludf.DUMMYFUNCTION("IF(REGEXMATCH(A6,""conv""),D6, IF(REGEXMATCH(A6,""pool""),B6))"),256.0)</f>
        <v>256</v>
      </c>
      <c r="I6" s="13">
        <f t="shared" si="2"/>
        <v>11</v>
      </c>
      <c r="J6" s="13">
        <f t="shared" si="3"/>
        <v>121</v>
      </c>
      <c r="K6" s="13">
        <f>IFERROR(__xludf.DUMMYFUNCTION("IF(REGEXMATCH(A6,""conv""),H6*B6*E6*E6+H6 , IF(REGEXMATCH(A6,""pool""),0))"),0.0)</f>
        <v>0</v>
      </c>
      <c r="L6" s="19"/>
      <c r="M6" s="20"/>
    </row>
    <row r="7">
      <c r="A7" s="19" t="s">
        <v>45</v>
      </c>
      <c r="B7" s="19">
        <f t="shared" ref="B7:C7" si="6">H6</f>
        <v>256</v>
      </c>
      <c r="C7" s="19">
        <f t="shared" si="6"/>
        <v>11</v>
      </c>
      <c r="D7" s="19">
        <v>384.0</v>
      </c>
      <c r="E7" s="19">
        <v>3.0</v>
      </c>
      <c r="F7" s="19">
        <v>1.0</v>
      </c>
      <c r="G7" s="19">
        <v>1.0</v>
      </c>
      <c r="H7" s="13">
        <f>IFERROR(__xludf.DUMMYFUNCTION("IF(REGEXMATCH(A7,""conv""),D7, IF(REGEXMATCH(A7,""pool""),B7))"),384.0)</f>
        <v>384</v>
      </c>
      <c r="I7" s="13">
        <f t="shared" si="2"/>
        <v>11</v>
      </c>
      <c r="J7" s="13">
        <f t="shared" si="3"/>
        <v>181</v>
      </c>
      <c r="K7" s="13">
        <f>IFERROR(__xludf.DUMMYFUNCTION("IF(REGEXMATCH(A7,""conv""),H7*B7*E7*E7+H7 , IF(REGEXMATCH(A7,""pool""),0))"),885120.0)</f>
        <v>885120</v>
      </c>
      <c r="L7" s="19"/>
    </row>
    <row r="8">
      <c r="A8" s="19" t="s">
        <v>46</v>
      </c>
      <c r="B8" s="19">
        <f t="shared" ref="B8:C8" si="7">H7</f>
        <v>384</v>
      </c>
      <c r="C8" s="19">
        <f t="shared" si="7"/>
        <v>11</v>
      </c>
      <c r="D8" s="19">
        <v>384.0</v>
      </c>
      <c r="E8" s="19">
        <v>3.0</v>
      </c>
      <c r="F8" s="19">
        <v>1.0</v>
      </c>
      <c r="G8" s="19">
        <v>1.0</v>
      </c>
      <c r="H8" s="13">
        <f>IFERROR(__xludf.DUMMYFUNCTION("IF(REGEXMATCH(A8,""conv""),D8, IF(REGEXMATCH(A8,""pool""),B8))"),384.0)</f>
        <v>384</v>
      </c>
      <c r="I8" s="13">
        <f t="shared" si="2"/>
        <v>11</v>
      </c>
      <c r="J8" s="13">
        <f t="shared" si="3"/>
        <v>181</v>
      </c>
      <c r="K8" s="13">
        <f>IFERROR(__xludf.DUMMYFUNCTION("IF(REGEXMATCH(A8,""conv""),H8*B8*E8*E8+H8 , IF(REGEXMATCH(A8,""pool""),0))"),1327488.0)</f>
        <v>1327488</v>
      </c>
      <c r="L8" s="19"/>
    </row>
    <row r="9">
      <c r="A9" s="19" t="s">
        <v>47</v>
      </c>
      <c r="B9" s="19">
        <f t="shared" ref="B9:C9" si="8">H8</f>
        <v>384</v>
      </c>
      <c r="C9" s="19">
        <f t="shared" si="8"/>
        <v>11</v>
      </c>
      <c r="D9" s="19">
        <v>256.0</v>
      </c>
      <c r="E9" s="19">
        <v>3.0</v>
      </c>
      <c r="F9" s="19">
        <v>1.0</v>
      </c>
      <c r="G9" s="19">
        <v>1.0</v>
      </c>
      <c r="H9" s="13">
        <f>IFERROR(__xludf.DUMMYFUNCTION("IF(REGEXMATCH(A9,""conv""),D9, IF(REGEXMATCH(A9,""pool""),B9))"),256.0)</f>
        <v>256</v>
      </c>
      <c r="I9" s="13">
        <f t="shared" si="2"/>
        <v>11</v>
      </c>
      <c r="J9" s="13">
        <f t="shared" si="3"/>
        <v>121</v>
      </c>
      <c r="K9" s="13">
        <f>IFERROR(__xludf.DUMMYFUNCTION("IF(REGEXMATCH(A9,""conv""),H9*B9*E9*E9+H9 , IF(REGEXMATCH(A9,""pool""),0, IF(REGEXMATCH(A9,""fc""),H9*B9*E9*E9+H9)))"),884992.0)</f>
        <v>884992</v>
      </c>
      <c r="L9" s="19"/>
    </row>
    <row r="10">
      <c r="A10" s="19" t="s">
        <v>48</v>
      </c>
      <c r="B10" s="19">
        <f t="shared" ref="B10:C10" si="9">H9</f>
        <v>256</v>
      </c>
      <c r="C10" s="19">
        <f t="shared" si="9"/>
        <v>11</v>
      </c>
      <c r="D10" s="19">
        <v>0.0</v>
      </c>
      <c r="E10" s="19">
        <v>3.0</v>
      </c>
      <c r="F10" s="19">
        <v>2.0</v>
      </c>
      <c r="G10" s="19">
        <v>0.0</v>
      </c>
      <c r="H10" s="13">
        <f>IFERROR(__xludf.DUMMYFUNCTION("IF(REGEXMATCH(A10,""conv""),D10, IF(REGEXMATCH(A10,""pool""),B10))"),256.0)</f>
        <v>256</v>
      </c>
      <c r="I10" s="13">
        <f t="shared" si="2"/>
        <v>5</v>
      </c>
      <c r="J10" s="13">
        <f t="shared" si="3"/>
        <v>25</v>
      </c>
      <c r="K10" s="13">
        <f>IFERROR(__xludf.DUMMYFUNCTION("IF(REGEXMATCH(A10,""conv""),H10*B10*E10*E10+H10 , IF(REGEXMATCH(A10,""pool""),0, IF(REGEXMATCH(A10,""fc""),H10*B10*E10*E10+H10)))"),0.0)</f>
        <v>0</v>
      </c>
      <c r="L10" s="19"/>
      <c r="M10" s="20"/>
    </row>
    <row r="11">
      <c r="A11" s="21" t="s">
        <v>49</v>
      </c>
      <c r="B11" s="19">
        <f t="shared" ref="B11:C11" si="10">H10</f>
        <v>256</v>
      </c>
      <c r="C11" s="19">
        <f t="shared" si="10"/>
        <v>5</v>
      </c>
      <c r="D11" s="21">
        <v>0.0</v>
      </c>
      <c r="E11" s="21">
        <v>0.0</v>
      </c>
      <c r="F11" s="21">
        <v>0.0</v>
      </c>
      <c r="G11" s="21">
        <v>0.0</v>
      </c>
      <c r="H11" s="13">
        <f>IFERROR(__xludf.DUMMYFUNCTION("IF(REGEXMATCH(A11,""conv""),D11, IF(REGEXMATCH(A11,""pool""),B11,IF(REGEXMATCH(A11,""flatten""),B11*C11*C11)))"),6400.0)</f>
        <v>6400</v>
      </c>
      <c r="I11" s="21">
        <v>1.0</v>
      </c>
      <c r="J11" s="13">
        <f t="shared" ref="J11:J14" si="12"> _xlfn.FLOOR.PRECISE(H11*I11*I11*4/1024)</f>
        <v>25</v>
      </c>
      <c r="K11" s="13">
        <f>IFERROR(__xludf.DUMMYFUNCTION("IF(REGEXMATCH(A11,""conv""),H11*B11*E11*E11+H11 , IF(REGEXMATCH(A11,""pool""),0, IF(REGEXMATCH(A11,""fc""),H11*B11*E11*E11+H11,IF(REGEXMATCH(A11,""flatten""),0))))"),0.0)</f>
        <v>0</v>
      </c>
      <c r="L11" s="22"/>
    </row>
    <row r="12">
      <c r="A12" s="17" t="s">
        <v>50</v>
      </c>
      <c r="B12" s="19">
        <f t="shared" ref="B12:C12" si="11">H11</f>
        <v>6400</v>
      </c>
      <c r="C12" s="19">
        <f t="shared" si="11"/>
        <v>1</v>
      </c>
      <c r="D12" s="17">
        <v>4096.0</v>
      </c>
      <c r="E12" s="17">
        <v>1.0</v>
      </c>
      <c r="F12" s="17">
        <v>1.0</v>
      </c>
      <c r="G12" s="17">
        <v>1.0</v>
      </c>
      <c r="H12" s="13">
        <f>IFERROR(__xludf.DUMMYFUNCTION("IF(REGEXMATCH(A12,""conv""),D12, IF(REGEXMATCH(A12,""pool""),B12,IF(REGEXMATCH(A12,""flatten""),B12*C12*C12, IF(REGEXMATCH(A12,""fc""),D12))))"),4096.0)</f>
        <v>4096</v>
      </c>
      <c r="I12" s="17">
        <v>1.0</v>
      </c>
      <c r="J12" s="13">
        <f t="shared" si="12"/>
        <v>16</v>
      </c>
      <c r="K12" s="13">
        <f>IFERROR(__xludf.DUMMYFUNCTION("IF(REGEXMATCH(A12,""conv""),H12*B12*E12*E12+H12 , IF(REGEXMATCH(A12,""pool""),0, IF(REGEXMATCH(A12,""fc""),H12*B12*E12*E12+H12)))"),2.6218496E7)</f>
        <v>26218496</v>
      </c>
      <c r="L12" s="13"/>
    </row>
    <row r="13">
      <c r="A13" s="17" t="s">
        <v>51</v>
      </c>
      <c r="B13" s="19">
        <f t="shared" ref="B13:C13" si="13">H12</f>
        <v>4096</v>
      </c>
      <c r="C13" s="19">
        <f t="shared" si="13"/>
        <v>1</v>
      </c>
      <c r="D13" s="17">
        <v>4096.0</v>
      </c>
      <c r="E13" s="17">
        <v>1.0</v>
      </c>
      <c r="F13" s="17">
        <v>1.0</v>
      </c>
      <c r="G13" s="17">
        <v>1.0</v>
      </c>
      <c r="H13" s="13">
        <f>IFERROR(__xludf.DUMMYFUNCTION("IF(REGEXMATCH(A13,""conv""),D13, IF(REGEXMATCH(A13,""pool""),B13,IF(REGEXMATCH(A13,""flatten""),B13*C13*C13, IF(REGEXMATCH(A13,""fc""),D13))))"),4096.0)</f>
        <v>4096</v>
      </c>
      <c r="I13" s="17">
        <v>1.0</v>
      </c>
      <c r="J13" s="13">
        <f t="shared" si="12"/>
        <v>16</v>
      </c>
      <c r="K13" s="13">
        <f>IFERROR(__xludf.DUMMYFUNCTION("IF(REGEXMATCH(A13,""conv""),H13*B13*E13*E13+H13 , IF(REGEXMATCH(A13,""pool""),0, IF(REGEXMATCH(A13,""fc""),H13*B13*E13*E13+H13)))"),1.6781312E7)</f>
        <v>16781312</v>
      </c>
      <c r="L13" s="13"/>
    </row>
    <row r="14">
      <c r="A14" s="17" t="s">
        <v>52</v>
      </c>
      <c r="B14" s="19">
        <f>H13</f>
        <v>4096</v>
      </c>
      <c r="C14" s="13"/>
      <c r="D14" s="17">
        <v>1000.0</v>
      </c>
      <c r="E14" s="17">
        <v>1.0</v>
      </c>
      <c r="F14" s="17">
        <v>1.0</v>
      </c>
      <c r="G14" s="17">
        <v>1.0</v>
      </c>
      <c r="H14" s="13">
        <f>IFERROR(__xludf.DUMMYFUNCTION("IF(REGEXMATCH(A14,""conv""),D14, IF(REGEXMATCH(A14,""pool""),B14,IF(REGEXMATCH(A14,""flatten""),B14*C14*C14, IF(REGEXMATCH(A14,""fc""),D14))))"),1000.0)</f>
        <v>1000</v>
      </c>
      <c r="I14" s="17">
        <v>1.0</v>
      </c>
      <c r="J14" s="13">
        <f t="shared" si="12"/>
        <v>3</v>
      </c>
      <c r="K14" s="13">
        <f>IFERROR(__xludf.DUMMYFUNCTION("IF(REGEXMATCH(A14,""conv""),H14*B14*E14*E14+H14 , IF(REGEXMATCH(A14,""pool""),0, IF(REGEXMATCH(A14,""fc""),H14*B14*E14*E14+H14)))"),4097000.0)</f>
        <v>4097000</v>
      </c>
      <c r="L14" s="13"/>
    </row>
    <row r="15">
      <c r="A15" s="18" t="s">
        <v>53</v>
      </c>
      <c r="B15" s="13"/>
      <c r="C15" s="13"/>
      <c r="D15" s="13"/>
      <c r="E15" s="13"/>
      <c r="F15" s="13"/>
      <c r="G15" s="13"/>
      <c r="H15" s="13"/>
      <c r="I15" s="13"/>
      <c r="J15" s="13">
        <f t="shared" ref="J15:K15" si="14">SUM(J3:J14)</f>
        <v>2611</v>
      </c>
      <c r="K15" s="13">
        <f t="shared" si="14"/>
        <v>50844008</v>
      </c>
      <c r="L15" s="13"/>
    </row>
  </sheetData>
  <mergeCells count="3">
    <mergeCell ref="B1:C1"/>
    <mergeCell ref="D1:G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/>
      <c r="B1" s="14" t="s">
        <v>31</v>
      </c>
      <c r="C1" s="3"/>
      <c r="D1" s="14" t="s">
        <v>1</v>
      </c>
      <c r="E1" s="5"/>
      <c r="F1" s="5"/>
      <c r="G1" s="3"/>
      <c r="H1" s="15" t="s">
        <v>2</v>
      </c>
      <c r="I1" s="3"/>
      <c r="J1" s="23"/>
      <c r="K1" s="23"/>
      <c r="L1" s="23"/>
    </row>
    <row r="2">
      <c r="A2" s="24" t="s">
        <v>32</v>
      </c>
      <c r="B2" s="24" t="s">
        <v>4</v>
      </c>
      <c r="C2" s="24" t="s">
        <v>33</v>
      </c>
      <c r="D2" s="24" t="s">
        <v>34</v>
      </c>
      <c r="E2" s="24" t="s">
        <v>35</v>
      </c>
      <c r="F2" s="24" t="s">
        <v>36</v>
      </c>
      <c r="G2" s="24" t="s">
        <v>54</v>
      </c>
      <c r="H2" s="24" t="s">
        <v>4</v>
      </c>
      <c r="I2" s="24" t="s">
        <v>33</v>
      </c>
      <c r="J2" s="24" t="s">
        <v>38</v>
      </c>
      <c r="K2" s="24" t="s">
        <v>39</v>
      </c>
      <c r="L2" s="24" t="s">
        <v>40</v>
      </c>
    </row>
    <row r="3">
      <c r="A3" s="18" t="s">
        <v>41</v>
      </c>
      <c r="B3" s="18">
        <v>3.0</v>
      </c>
      <c r="C3" s="18">
        <v>224.0</v>
      </c>
      <c r="D3" s="18">
        <v>96.0</v>
      </c>
      <c r="E3" s="18">
        <v>7.0</v>
      </c>
      <c r="F3" s="18">
        <v>2.0</v>
      </c>
      <c r="G3" s="18">
        <v>0.0</v>
      </c>
      <c r="H3" s="13">
        <f>IFERROR(__xludf.DUMMYFUNCTION("IF(REGEXMATCH(A3,""conv""),D3, IF(REGEXMATCH(A3,""pool""),B3))"),96.0)</f>
        <v>96</v>
      </c>
      <c r="I3" s="13">
        <f t="shared" ref="I3:I10" si="2">ROUNDUP((C3-E3+2*G3)/F3)+1</f>
        <v>110</v>
      </c>
      <c r="J3" s="13">
        <f t="shared" ref="J3:J14" si="3">ROUNDUP(H3*I3*I3*4/1024)</f>
        <v>4538</v>
      </c>
      <c r="K3" s="13">
        <f>IFERROR(__xludf.DUMMYFUNCTION("IF(REGEXMATCH(A3,""conv""),H3*B3*E3*E3+H3 , IF(REGEXMATCH(A3,""pool""),0))"),14208.0)</f>
        <v>14208</v>
      </c>
      <c r="L3" s="23"/>
    </row>
    <row r="4">
      <c r="A4" s="19" t="s">
        <v>42</v>
      </c>
      <c r="B4" s="19">
        <f t="shared" ref="B4:C4" si="1">H3</f>
        <v>96</v>
      </c>
      <c r="C4" s="19">
        <f t="shared" si="1"/>
        <v>110</v>
      </c>
      <c r="D4" s="19">
        <v>1.0</v>
      </c>
      <c r="E4" s="19">
        <v>3.0</v>
      </c>
      <c r="F4" s="19">
        <v>2.0</v>
      </c>
      <c r="G4" s="19">
        <v>0.0</v>
      </c>
      <c r="H4" s="13">
        <f>IFERROR(__xludf.DUMMYFUNCTION("IF(REGEXMATCH(A4,""conv""),D4, IF(REGEXMATCH(A4,""pool""),B4))"),96.0)</f>
        <v>96</v>
      </c>
      <c r="I4" s="13">
        <f t="shared" si="2"/>
        <v>55</v>
      </c>
      <c r="J4" s="13">
        <f t="shared" si="3"/>
        <v>1135</v>
      </c>
      <c r="K4" s="13">
        <f>IFERROR(__xludf.DUMMYFUNCTION("IF(REGEXMATCH(A4,""conv""),H4*B4*E4*E4+H4 , IF(REGEXMATCH(A4,""pool""),0))"),0.0)</f>
        <v>0</v>
      </c>
      <c r="L4" s="23"/>
    </row>
    <row r="5">
      <c r="A5" s="19" t="s">
        <v>43</v>
      </c>
      <c r="B5" s="19">
        <f t="shared" ref="B5:C5" si="4">H4</f>
        <v>96</v>
      </c>
      <c r="C5" s="19">
        <f t="shared" si="4"/>
        <v>55</v>
      </c>
      <c r="D5" s="19">
        <v>256.0</v>
      </c>
      <c r="E5" s="19">
        <v>5.0</v>
      </c>
      <c r="F5" s="19">
        <v>2.0</v>
      </c>
      <c r="G5" s="19">
        <v>0.0</v>
      </c>
      <c r="H5" s="13">
        <f>IFERROR(__xludf.DUMMYFUNCTION("IF(REGEXMATCH(A5,""conv""),D5, IF(REGEXMATCH(A5,""pool""),B5))"),256.0)</f>
        <v>256</v>
      </c>
      <c r="I5" s="13">
        <f t="shared" si="2"/>
        <v>26</v>
      </c>
      <c r="J5" s="13">
        <f t="shared" si="3"/>
        <v>676</v>
      </c>
      <c r="K5" s="13">
        <f>IFERROR(__xludf.DUMMYFUNCTION("IF(REGEXMATCH(A5,""conv""),H5*B5*E5*E5+H5 , IF(REGEXMATCH(A5,""pool""),0))"),614656.0)</f>
        <v>614656</v>
      </c>
      <c r="L5" s="19"/>
    </row>
    <row r="6">
      <c r="A6" s="19" t="s">
        <v>44</v>
      </c>
      <c r="B6" s="19">
        <f t="shared" ref="B6:C6" si="5">H5</f>
        <v>256</v>
      </c>
      <c r="C6" s="19">
        <f t="shared" si="5"/>
        <v>26</v>
      </c>
      <c r="D6" s="19">
        <v>1.0</v>
      </c>
      <c r="E6" s="19">
        <v>3.0</v>
      </c>
      <c r="F6" s="19">
        <v>2.0</v>
      </c>
      <c r="G6" s="19">
        <v>0.0</v>
      </c>
      <c r="H6" s="13">
        <f>IFERROR(__xludf.DUMMYFUNCTION("IF(REGEXMATCH(A6,""conv""),D6, IF(REGEXMATCH(A6,""pool""),B6))"),256.0)</f>
        <v>256</v>
      </c>
      <c r="I6" s="13">
        <f t="shared" si="2"/>
        <v>13</v>
      </c>
      <c r="J6" s="13">
        <f t="shared" si="3"/>
        <v>169</v>
      </c>
      <c r="K6" s="13">
        <f>IFERROR(__xludf.DUMMYFUNCTION("IF(REGEXMATCH(A6,""conv""),H6*B6*E6*E6+H6 , IF(REGEXMATCH(A6,""pool""),0))"),0.0)</f>
        <v>0</v>
      </c>
      <c r="L6" s="19"/>
    </row>
    <row r="7">
      <c r="A7" s="19" t="s">
        <v>45</v>
      </c>
      <c r="B7" s="19">
        <f t="shared" ref="B7:C7" si="6">H6</f>
        <v>256</v>
      </c>
      <c r="C7" s="19">
        <f t="shared" si="6"/>
        <v>13</v>
      </c>
      <c r="D7" s="19">
        <v>384.0</v>
      </c>
      <c r="E7" s="19">
        <v>3.0</v>
      </c>
      <c r="F7" s="19">
        <v>1.0</v>
      </c>
      <c r="G7" s="19">
        <v>1.0</v>
      </c>
      <c r="H7" s="13">
        <f>IFERROR(__xludf.DUMMYFUNCTION("IF(REGEXMATCH(A7,""conv""),D7, IF(REGEXMATCH(A7,""pool""),B7))"),384.0)</f>
        <v>384</v>
      </c>
      <c r="I7" s="13">
        <f t="shared" si="2"/>
        <v>13</v>
      </c>
      <c r="J7" s="13">
        <f t="shared" si="3"/>
        <v>254</v>
      </c>
      <c r="K7" s="13">
        <f>IFERROR(__xludf.DUMMYFUNCTION("IF(REGEXMATCH(A7,""conv""),H7*B7*E7*E7+H7 , IF(REGEXMATCH(A7,""pool""),0))"),885120.0)</f>
        <v>885120</v>
      </c>
      <c r="L7" s="19"/>
    </row>
    <row r="8">
      <c r="A8" s="19" t="s">
        <v>46</v>
      </c>
      <c r="B8" s="19">
        <f t="shared" ref="B8:C8" si="7">H7</f>
        <v>384</v>
      </c>
      <c r="C8" s="19">
        <f t="shared" si="7"/>
        <v>13</v>
      </c>
      <c r="D8" s="19">
        <v>384.0</v>
      </c>
      <c r="E8" s="19">
        <v>3.0</v>
      </c>
      <c r="F8" s="19">
        <v>1.0</v>
      </c>
      <c r="G8" s="19">
        <v>1.0</v>
      </c>
      <c r="H8" s="13">
        <f>IFERROR(__xludf.DUMMYFUNCTION("IF(REGEXMATCH(A8,""conv""),D8, IF(REGEXMATCH(A8,""pool""),B8))"),384.0)</f>
        <v>384</v>
      </c>
      <c r="I8" s="13">
        <f t="shared" si="2"/>
        <v>13</v>
      </c>
      <c r="J8" s="13">
        <f t="shared" si="3"/>
        <v>254</v>
      </c>
      <c r="K8" s="13">
        <f>IFERROR(__xludf.DUMMYFUNCTION("IF(REGEXMATCH(A8,""conv""),H8*B8*E8*E8+H8 , IF(REGEXMATCH(A8,""pool""),0))"),1327488.0)</f>
        <v>1327488</v>
      </c>
      <c r="L8" s="19"/>
    </row>
    <row r="9">
      <c r="A9" s="19" t="s">
        <v>47</v>
      </c>
      <c r="B9" s="19">
        <f t="shared" ref="B9:C9" si="8">H8</f>
        <v>384</v>
      </c>
      <c r="C9" s="19">
        <f t="shared" si="8"/>
        <v>13</v>
      </c>
      <c r="D9" s="19">
        <v>256.0</v>
      </c>
      <c r="E9" s="19">
        <v>3.0</v>
      </c>
      <c r="F9" s="19">
        <v>1.0</v>
      </c>
      <c r="G9" s="19">
        <v>1.0</v>
      </c>
      <c r="H9" s="13">
        <f>IFERROR(__xludf.DUMMYFUNCTION("IF(REGEXMATCH(A9,""conv""),D9, IF(REGEXMATCH(A9,""pool""),B9))"),256.0)</f>
        <v>256</v>
      </c>
      <c r="I9" s="13">
        <f t="shared" si="2"/>
        <v>13</v>
      </c>
      <c r="J9" s="13">
        <f t="shared" si="3"/>
        <v>169</v>
      </c>
      <c r="K9" s="13">
        <f>IFERROR(__xludf.DUMMYFUNCTION("IF(REGEXMATCH(A9,""conv""),H9*B9*E9*E9+H9 , IF(REGEXMATCH(A9,""pool""),0, IF(REGEXMATCH(A9,""fc""),H9*B9*E9*E9+H9)))"),884992.0)</f>
        <v>884992</v>
      </c>
      <c r="L9" s="19"/>
    </row>
    <row r="10">
      <c r="A10" s="19" t="s">
        <v>48</v>
      </c>
      <c r="B10" s="19">
        <f t="shared" ref="B10:C10" si="9">H9</f>
        <v>256</v>
      </c>
      <c r="C10" s="19">
        <f t="shared" si="9"/>
        <v>13</v>
      </c>
      <c r="D10" s="19">
        <v>1.0</v>
      </c>
      <c r="E10" s="19">
        <v>3.0</v>
      </c>
      <c r="F10" s="19">
        <v>2.0</v>
      </c>
      <c r="G10" s="19">
        <v>0.0</v>
      </c>
      <c r="H10" s="13">
        <f>IFERROR(__xludf.DUMMYFUNCTION("IF(REGEXMATCH(A10,""conv""),D10, IF(REGEXMATCH(A10,""pool""),B10))"),256.0)</f>
        <v>256</v>
      </c>
      <c r="I10" s="13">
        <f t="shared" si="2"/>
        <v>6</v>
      </c>
      <c r="J10" s="13">
        <f t="shared" si="3"/>
        <v>36</v>
      </c>
      <c r="K10" s="13">
        <f>IFERROR(__xludf.DUMMYFUNCTION("IF(REGEXMATCH(A10,""conv""),H10*B10*E10*E10+H10 , IF(REGEXMATCH(A10,""pool""),0, IF(REGEXMATCH(A10,""fc""),H10*B10*E10*E10+H10)))"),0.0)</f>
        <v>0</v>
      </c>
      <c r="L10" s="19"/>
    </row>
    <row r="11">
      <c r="A11" s="25" t="s">
        <v>49</v>
      </c>
      <c r="B11" s="19">
        <f t="shared" ref="B11:C11" si="10">H10</f>
        <v>256</v>
      </c>
      <c r="C11" s="19">
        <f t="shared" si="10"/>
        <v>6</v>
      </c>
      <c r="D11" s="25">
        <v>0.0</v>
      </c>
      <c r="E11" s="25">
        <v>0.0</v>
      </c>
      <c r="F11" s="25">
        <v>0.0</v>
      </c>
      <c r="G11" s="25">
        <v>0.0</v>
      </c>
      <c r="H11" s="13">
        <f>IFERROR(__xludf.DUMMYFUNCTION("IF(REGEXMATCH(A11,""conv""),D11, IF(REGEXMATCH(A11,""pool""),B11,IF(REGEXMATCH(A11,""flatten""),B11*C11*C11)))"),9216.0)</f>
        <v>9216</v>
      </c>
      <c r="I11" s="25">
        <v>1.0</v>
      </c>
      <c r="J11" s="13">
        <f t="shared" si="3"/>
        <v>36</v>
      </c>
      <c r="K11" s="13">
        <f>IFERROR(__xludf.DUMMYFUNCTION("IF(REGEXMATCH(A11,""conv""),H11*B11*E11*E11+H11 , IF(REGEXMATCH(A11,""pool""),0, IF(REGEXMATCH(A11,""fc""),H11*B11*E11*E11+H11,IF(REGEXMATCH(A11,""flatten""),0))))"),0.0)</f>
        <v>0</v>
      </c>
      <c r="L11" s="26"/>
    </row>
    <row r="12">
      <c r="A12" s="18" t="s">
        <v>50</v>
      </c>
      <c r="B12" s="19">
        <f t="shared" ref="B12:C12" si="11">H11</f>
        <v>9216</v>
      </c>
      <c r="C12" s="19">
        <f t="shared" si="11"/>
        <v>1</v>
      </c>
      <c r="D12" s="18">
        <v>4096.0</v>
      </c>
      <c r="E12" s="18">
        <v>1.0</v>
      </c>
      <c r="F12" s="18">
        <v>1.0</v>
      </c>
      <c r="G12" s="18">
        <v>0.0</v>
      </c>
      <c r="H12" s="13">
        <f>IFERROR(__xludf.DUMMYFUNCTION("IF(REGEXMATCH(A12,""conv""),D12, IF(REGEXMATCH(A12,""pool""),B12,IF(REGEXMATCH(A12,""flatten""),B12*C12*C12, IF(REGEXMATCH(A12,""fc""),D12))))"),4096.0)</f>
        <v>4096</v>
      </c>
      <c r="I12" s="18">
        <v>1.0</v>
      </c>
      <c r="J12" s="13">
        <f t="shared" si="3"/>
        <v>16</v>
      </c>
      <c r="K12" s="13">
        <f>IFERROR(__xludf.DUMMYFUNCTION("IF(REGEXMATCH(A12,""conv""),H12*B12*E12*E12+H12 , IF(REGEXMATCH(A12,""pool""),0, IF(REGEXMATCH(A12,""fc""),H12*B12*E12*E12+H12)))"),3.7752832E7)</f>
        <v>37752832</v>
      </c>
      <c r="L12" s="23"/>
    </row>
    <row r="13">
      <c r="A13" s="18" t="s">
        <v>51</v>
      </c>
      <c r="B13" s="19">
        <f t="shared" ref="B13:C13" si="12">H12</f>
        <v>4096</v>
      </c>
      <c r="C13" s="19">
        <f t="shared" si="12"/>
        <v>1</v>
      </c>
      <c r="D13" s="18">
        <v>4096.0</v>
      </c>
      <c r="E13" s="18">
        <v>1.0</v>
      </c>
      <c r="F13" s="18">
        <v>1.0</v>
      </c>
      <c r="G13" s="18">
        <v>0.0</v>
      </c>
      <c r="H13" s="13">
        <f>IFERROR(__xludf.DUMMYFUNCTION("IF(REGEXMATCH(A13,""conv""),D13, IF(REGEXMATCH(A13,""pool""),B13,IF(REGEXMATCH(A13,""flatten""),B13*C13*C13, IF(REGEXMATCH(A13,""fc""),D13))))"),4096.0)</f>
        <v>4096</v>
      </c>
      <c r="I13" s="18">
        <v>1.0</v>
      </c>
      <c r="J13" s="13">
        <f t="shared" si="3"/>
        <v>16</v>
      </c>
      <c r="K13" s="13">
        <f>IFERROR(__xludf.DUMMYFUNCTION("IF(REGEXMATCH(A13,""conv""),H13*B13*E13*E13+H13 , IF(REGEXMATCH(A13,""pool""),0, IF(REGEXMATCH(A13,""fc""),H13*B13*E13*E13+H13)))"),1.6781312E7)</f>
        <v>16781312</v>
      </c>
      <c r="L13" s="23"/>
    </row>
    <row r="14">
      <c r="A14" s="18" t="s">
        <v>52</v>
      </c>
      <c r="B14" s="19">
        <f>H13</f>
        <v>4096</v>
      </c>
      <c r="C14" s="23"/>
      <c r="D14" s="18">
        <v>1000.0</v>
      </c>
      <c r="E14" s="18">
        <v>1.0</v>
      </c>
      <c r="F14" s="18">
        <v>1.0</v>
      </c>
      <c r="G14" s="18">
        <v>0.0</v>
      </c>
      <c r="H14" s="13">
        <f>IFERROR(__xludf.DUMMYFUNCTION("IF(REGEXMATCH(A14,""conv""),D14, IF(REGEXMATCH(A14,""pool""),B14,IF(REGEXMATCH(A14,""flatten""),B14*C14*C14, IF(REGEXMATCH(A14,""fc""),D14))))"),1000.0)</f>
        <v>1000</v>
      </c>
      <c r="I14" s="18">
        <v>1.0</v>
      </c>
      <c r="J14" s="13">
        <f t="shared" si="3"/>
        <v>4</v>
      </c>
      <c r="K14" s="13">
        <f>IFERROR(__xludf.DUMMYFUNCTION("IF(REGEXMATCH(A14,""conv""),H14*B14*E14*E14+H14 , IF(REGEXMATCH(A14,""pool""),0, IF(REGEXMATCH(A14,""fc""),H14*B14*E14*E14+H14)))"),4097000.0)</f>
        <v>4097000</v>
      </c>
      <c r="L14" s="23"/>
    </row>
    <row r="15">
      <c r="A15" s="27" t="s">
        <v>53</v>
      </c>
      <c r="J15" s="28">
        <f t="shared" ref="J15:K15" si="13">SUM(J3:J14)</f>
        <v>7303</v>
      </c>
      <c r="K15" s="28">
        <f t="shared" si="13"/>
        <v>62357608</v>
      </c>
    </row>
  </sheetData>
  <mergeCells count="3">
    <mergeCell ref="B1:C1"/>
    <mergeCell ref="D1:G1"/>
    <mergeCell ref="H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/>
      <c r="B1" s="14" t="s">
        <v>31</v>
      </c>
      <c r="C1" s="3"/>
      <c r="D1" s="14" t="s">
        <v>1</v>
      </c>
      <c r="E1" s="5"/>
      <c r="F1" s="5"/>
      <c r="G1" s="3"/>
      <c r="H1" s="15" t="s">
        <v>2</v>
      </c>
      <c r="I1" s="3"/>
      <c r="J1" s="23"/>
      <c r="K1" s="23"/>
      <c r="L1" s="23"/>
    </row>
    <row r="2">
      <c r="A2" s="24" t="s">
        <v>32</v>
      </c>
      <c r="B2" s="24" t="s">
        <v>4</v>
      </c>
      <c r="C2" s="24" t="s">
        <v>33</v>
      </c>
      <c r="D2" s="24" t="s">
        <v>34</v>
      </c>
      <c r="E2" s="24" t="s">
        <v>35</v>
      </c>
      <c r="F2" s="24" t="s">
        <v>36</v>
      </c>
      <c r="G2" s="24" t="s">
        <v>54</v>
      </c>
      <c r="H2" s="24" t="s">
        <v>4</v>
      </c>
      <c r="I2" s="24" t="s">
        <v>33</v>
      </c>
      <c r="J2" s="24" t="s">
        <v>38</v>
      </c>
      <c r="K2" s="24" t="s">
        <v>39</v>
      </c>
      <c r="L2" s="24" t="s">
        <v>40</v>
      </c>
    </row>
    <row r="3">
      <c r="A3" s="18" t="s">
        <v>41</v>
      </c>
      <c r="B3" s="18">
        <v>3.0</v>
      </c>
      <c r="C3" s="18">
        <v>224.0</v>
      </c>
      <c r="D3" s="18">
        <v>64.0</v>
      </c>
      <c r="E3" s="18">
        <v>3.0</v>
      </c>
      <c r="F3" s="18">
        <v>1.0</v>
      </c>
      <c r="G3" s="18">
        <v>1.0</v>
      </c>
      <c r="H3" s="13">
        <f>IFERROR(__xludf.DUMMYFUNCTION("IF(REGEXMATCH(A3,""conv""),D3, IF(REGEXMATCH(A3,""pool""),B3))"),64.0)</f>
        <v>64</v>
      </c>
      <c r="I3" s="13">
        <f t="shared" ref="I3:I20" si="2">ROUNDUP((C3-E3+2*G3)/F3)+1</f>
        <v>224</v>
      </c>
      <c r="J3" s="13">
        <f t="shared" ref="J3:J24" si="3">ROUNDUP(H3*I3*I3*4/1024)</f>
        <v>12544</v>
      </c>
      <c r="K3" s="13">
        <f>IFERROR(__xludf.DUMMYFUNCTION("IF(REGEXMATCH(A3,""conv""),H3*B3*E3*E3+H3 , IF(REGEXMATCH(A3,""pool""),0))"),1792.0)</f>
        <v>1792</v>
      </c>
      <c r="L3" s="23"/>
    </row>
    <row r="4">
      <c r="A4" s="19" t="s">
        <v>43</v>
      </c>
      <c r="B4" s="19">
        <f t="shared" ref="B4:C4" si="1">H3</f>
        <v>64</v>
      </c>
      <c r="C4" s="19">
        <f t="shared" si="1"/>
        <v>224</v>
      </c>
      <c r="D4" s="19">
        <v>64.0</v>
      </c>
      <c r="E4" s="19">
        <v>3.0</v>
      </c>
      <c r="F4" s="19">
        <v>1.0</v>
      </c>
      <c r="G4" s="19">
        <v>1.0</v>
      </c>
      <c r="H4" s="13">
        <f>IFERROR(__xludf.DUMMYFUNCTION("IF(REGEXMATCH(A4,""conv""),D4, IF(REGEXMATCH(A4,""pool""),B4))"),64.0)</f>
        <v>64</v>
      </c>
      <c r="I4" s="13">
        <f t="shared" si="2"/>
        <v>224</v>
      </c>
      <c r="J4" s="13">
        <f t="shared" si="3"/>
        <v>12544</v>
      </c>
      <c r="K4" s="13">
        <f>IFERROR(__xludf.DUMMYFUNCTION("IF(REGEXMATCH(A4,""conv""),H4*B4*E4*E4+H4 , IF(REGEXMATCH(A4,""pool""),0))"),36928.0)</f>
        <v>36928</v>
      </c>
      <c r="L4" s="23"/>
    </row>
    <row r="5">
      <c r="A5" s="19" t="s">
        <v>44</v>
      </c>
      <c r="B5" s="19">
        <f t="shared" ref="B5:C5" si="4">H4</f>
        <v>64</v>
      </c>
      <c r="C5" s="19">
        <f t="shared" si="4"/>
        <v>224</v>
      </c>
      <c r="D5" s="19">
        <v>1.0</v>
      </c>
      <c r="E5" s="19">
        <v>2.0</v>
      </c>
      <c r="F5" s="19">
        <v>2.0</v>
      </c>
      <c r="G5" s="19">
        <v>0.0</v>
      </c>
      <c r="H5" s="13">
        <f>IFERROR(__xludf.DUMMYFUNCTION("IF(REGEXMATCH(A5,""conv""),D5, IF(REGEXMATCH(A5,""pool""),B5))"),64.0)</f>
        <v>64</v>
      </c>
      <c r="I5" s="13">
        <f t="shared" si="2"/>
        <v>112</v>
      </c>
      <c r="J5" s="13">
        <f t="shared" si="3"/>
        <v>3136</v>
      </c>
      <c r="K5" s="13">
        <f>IFERROR(__xludf.DUMMYFUNCTION("IF(REGEXMATCH(A5,""conv""),H5*B5*E5*E5+H5 , IF(REGEXMATCH(A5,""pool""),0))"),0.0)</f>
        <v>0</v>
      </c>
      <c r="L5" s="19"/>
    </row>
    <row r="6">
      <c r="A6" s="19" t="s">
        <v>45</v>
      </c>
      <c r="B6" s="19">
        <f t="shared" ref="B6:C6" si="5">H5</f>
        <v>64</v>
      </c>
      <c r="C6" s="19">
        <f t="shared" si="5"/>
        <v>112</v>
      </c>
      <c r="D6" s="19">
        <v>128.0</v>
      </c>
      <c r="E6" s="19">
        <v>3.0</v>
      </c>
      <c r="F6" s="19">
        <v>1.0</v>
      </c>
      <c r="G6" s="19">
        <v>1.0</v>
      </c>
      <c r="H6" s="13">
        <f>IFERROR(__xludf.DUMMYFUNCTION("IF(REGEXMATCH(A6,""conv""),D6, IF(REGEXMATCH(A6,""pool""),B6))"),128.0)</f>
        <v>128</v>
      </c>
      <c r="I6" s="13">
        <f t="shared" si="2"/>
        <v>112</v>
      </c>
      <c r="J6" s="13">
        <f t="shared" si="3"/>
        <v>6272</v>
      </c>
      <c r="K6" s="13">
        <f>IFERROR(__xludf.DUMMYFUNCTION("IF(REGEXMATCH(A6,""conv""),H6*B6*E6*E6+H6 , IF(REGEXMATCH(A6,""pool""),0))"),73856.0)</f>
        <v>73856</v>
      </c>
      <c r="L6" s="19"/>
    </row>
    <row r="7">
      <c r="A7" s="19" t="s">
        <v>46</v>
      </c>
      <c r="B7" s="19">
        <f t="shared" ref="B7:C7" si="6">H6</f>
        <v>128</v>
      </c>
      <c r="C7" s="19">
        <f t="shared" si="6"/>
        <v>112</v>
      </c>
      <c r="D7" s="19">
        <v>128.0</v>
      </c>
      <c r="E7" s="19">
        <v>3.0</v>
      </c>
      <c r="F7" s="19">
        <v>1.0</v>
      </c>
      <c r="G7" s="19">
        <v>1.0</v>
      </c>
      <c r="H7" s="13">
        <f>IFERROR(__xludf.DUMMYFUNCTION("IF(REGEXMATCH(A7,""conv""),D7, IF(REGEXMATCH(A7,""pool""),B7))"),128.0)</f>
        <v>128</v>
      </c>
      <c r="I7" s="13">
        <f t="shared" si="2"/>
        <v>112</v>
      </c>
      <c r="J7" s="13">
        <f t="shared" si="3"/>
        <v>6272</v>
      </c>
      <c r="K7" s="13">
        <f>IFERROR(__xludf.DUMMYFUNCTION("IF(REGEXMATCH(A7,""conv""),H7*B7*E7*E7+H7 , IF(REGEXMATCH(A7,""pool""),0))"),147584.0)</f>
        <v>147584</v>
      </c>
      <c r="L7" s="19"/>
    </row>
    <row r="8">
      <c r="A8" s="19" t="s">
        <v>55</v>
      </c>
      <c r="B8" s="19">
        <f t="shared" ref="B8:C8" si="7">H7</f>
        <v>128</v>
      </c>
      <c r="C8" s="19">
        <f t="shared" si="7"/>
        <v>112</v>
      </c>
      <c r="D8" s="19">
        <v>1.0</v>
      </c>
      <c r="E8" s="19">
        <v>2.0</v>
      </c>
      <c r="F8" s="19">
        <v>2.0</v>
      </c>
      <c r="G8" s="19">
        <v>0.0</v>
      </c>
      <c r="H8" s="13">
        <f>IFERROR(__xludf.DUMMYFUNCTION("IF(REGEXMATCH(A8,""conv""),D8, IF(REGEXMATCH(A8,""pool""),B8))"),128.0)</f>
        <v>128</v>
      </c>
      <c r="I8" s="13">
        <f t="shared" si="2"/>
        <v>56</v>
      </c>
      <c r="J8" s="13">
        <f t="shared" si="3"/>
        <v>1568</v>
      </c>
      <c r="K8" s="13">
        <f>IFERROR(__xludf.DUMMYFUNCTION("IF(REGEXMATCH(A8,""conv""),H8*B8*E8*E8+H8 , IF(REGEXMATCH(A8,""pool""),0))"),0.0)</f>
        <v>0</v>
      </c>
      <c r="L8" s="19"/>
    </row>
    <row r="9">
      <c r="A9" s="19" t="s">
        <v>47</v>
      </c>
      <c r="B9" s="19">
        <f t="shared" ref="B9:C9" si="8">H8</f>
        <v>128</v>
      </c>
      <c r="C9" s="19">
        <f t="shared" si="8"/>
        <v>56</v>
      </c>
      <c r="D9" s="19">
        <v>256.0</v>
      </c>
      <c r="E9" s="19">
        <v>3.0</v>
      </c>
      <c r="F9" s="19">
        <v>1.0</v>
      </c>
      <c r="G9" s="19">
        <v>1.0</v>
      </c>
      <c r="H9" s="13">
        <f>IFERROR(__xludf.DUMMYFUNCTION("IF(REGEXMATCH(A9,""conv""),D9, IF(REGEXMATCH(A9,""pool""),B9))"),256.0)</f>
        <v>256</v>
      </c>
      <c r="I9" s="13">
        <f t="shared" si="2"/>
        <v>56</v>
      </c>
      <c r="J9" s="13">
        <f t="shared" si="3"/>
        <v>3136</v>
      </c>
      <c r="K9" s="13">
        <f>IFERROR(__xludf.DUMMYFUNCTION("IF(REGEXMATCH(A9,""conv""),H9*B9*E9*E9+H9 , IF(REGEXMATCH(A9,""pool""),0))"),295168.0)</f>
        <v>295168</v>
      </c>
      <c r="L9" s="19"/>
    </row>
    <row r="10">
      <c r="A10" s="19" t="s">
        <v>56</v>
      </c>
      <c r="B10" s="19">
        <f t="shared" ref="B10:C10" si="9">H9</f>
        <v>256</v>
      </c>
      <c r="C10" s="19">
        <f t="shared" si="9"/>
        <v>56</v>
      </c>
      <c r="D10" s="19">
        <v>256.0</v>
      </c>
      <c r="E10" s="19">
        <v>3.0</v>
      </c>
      <c r="F10" s="19">
        <v>1.0</v>
      </c>
      <c r="G10" s="19">
        <v>1.0</v>
      </c>
      <c r="H10" s="13">
        <f>IFERROR(__xludf.DUMMYFUNCTION("IF(REGEXMATCH(A10,""conv""),D10, IF(REGEXMATCH(A10,""pool""),B10))"),256.0)</f>
        <v>256</v>
      </c>
      <c r="I10" s="13">
        <f t="shared" si="2"/>
        <v>56</v>
      </c>
      <c r="J10" s="13">
        <f t="shared" si="3"/>
        <v>3136</v>
      </c>
      <c r="K10" s="13">
        <f>IFERROR(__xludf.DUMMYFUNCTION("IF(REGEXMATCH(A10,""conv""),H10*B10*E10*E10+H10 , IF(REGEXMATCH(A10,""pool""),0))"),590080.0)</f>
        <v>590080</v>
      </c>
      <c r="L10" s="19"/>
    </row>
    <row r="11">
      <c r="A11" s="25" t="s">
        <v>57</v>
      </c>
      <c r="B11" s="19">
        <f t="shared" ref="B11:C11" si="10">H10</f>
        <v>256</v>
      </c>
      <c r="C11" s="19">
        <f t="shared" si="10"/>
        <v>56</v>
      </c>
      <c r="D11" s="25">
        <v>256.0</v>
      </c>
      <c r="E11" s="25">
        <v>3.0</v>
      </c>
      <c r="F11" s="25">
        <v>1.0</v>
      </c>
      <c r="G11" s="25">
        <v>1.0</v>
      </c>
      <c r="H11" s="13">
        <f>IFERROR(__xludf.DUMMYFUNCTION("IF(REGEXMATCH(A11,""conv""),D11, IF(REGEXMATCH(A11,""pool""),B11,IF(REGEXMATCH(A11,""flatten""),B11*C11*C11)))"),256.0)</f>
        <v>256</v>
      </c>
      <c r="I11" s="13">
        <f t="shared" si="2"/>
        <v>56</v>
      </c>
      <c r="J11" s="13">
        <f t="shared" si="3"/>
        <v>3136</v>
      </c>
      <c r="K11" s="13">
        <f>IFERROR(__xludf.DUMMYFUNCTION("IF(REGEXMATCH(A11,""conv""),H11*B11*E11*E11+H11 , IF(REGEXMATCH(A11,""pool""),0, IF(REGEXMATCH(A11,""fc""),H11*B11*E11*E11+H11,IF(REGEXMATCH(A11,""flatten""),0))))"),590080.0)</f>
        <v>590080</v>
      </c>
      <c r="L11" s="26"/>
    </row>
    <row r="12">
      <c r="A12" s="18" t="s">
        <v>58</v>
      </c>
      <c r="B12" s="19">
        <f t="shared" ref="B12:C12" si="11">H11</f>
        <v>256</v>
      </c>
      <c r="C12" s="19">
        <f t="shared" si="11"/>
        <v>56</v>
      </c>
      <c r="D12" s="18">
        <v>1.0</v>
      </c>
      <c r="E12" s="18">
        <v>2.0</v>
      </c>
      <c r="F12" s="18">
        <v>2.0</v>
      </c>
      <c r="G12" s="18">
        <v>0.0</v>
      </c>
      <c r="H12" s="13">
        <f>IFERROR(__xludf.DUMMYFUNCTION("IF(REGEXMATCH(A12,""conv""),D12, IF(REGEXMATCH(A12,""pool""),B12,IF(REGEXMATCH(A12,""flatten""),B12*C12*C12, IF(REGEXMATCH(A12,""fc""),D12))))"),256.0)</f>
        <v>256</v>
      </c>
      <c r="I12" s="13">
        <f t="shared" si="2"/>
        <v>28</v>
      </c>
      <c r="J12" s="13">
        <f t="shared" si="3"/>
        <v>784</v>
      </c>
      <c r="K12" s="13">
        <f>IFERROR(__xludf.DUMMYFUNCTION("IF(REGEXMATCH(A12,""conv""),H12*B12*E12*E12+H12 , IF(REGEXMATCH(A12,""pool""),0, IF(REGEXMATCH(A12,""fc""),H12*B12*E12*E12+H12,IF(REGEXMATCH(A12,""flatten""),0))))"),0.0)</f>
        <v>0</v>
      </c>
      <c r="L12" s="23"/>
    </row>
    <row r="13">
      <c r="A13" s="18" t="s">
        <v>59</v>
      </c>
      <c r="B13" s="19">
        <f t="shared" ref="B13:C13" si="12">H12</f>
        <v>256</v>
      </c>
      <c r="C13" s="19">
        <f t="shared" si="12"/>
        <v>28</v>
      </c>
      <c r="D13" s="18">
        <v>512.0</v>
      </c>
      <c r="E13" s="18">
        <v>3.0</v>
      </c>
      <c r="F13" s="18">
        <v>1.0</v>
      </c>
      <c r="G13" s="18">
        <v>1.0</v>
      </c>
      <c r="H13" s="13">
        <f>IFERROR(__xludf.DUMMYFUNCTION("IF(REGEXMATCH(A13,""conv""),D13, IF(REGEXMATCH(A13,""pool""),B13,IF(REGEXMATCH(A13,""flatten""),B13*C13*C13, IF(REGEXMATCH(A13,""fc""),D13))))"),512.0)</f>
        <v>512</v>
      </c>
      <c r="I13" s="13">
        <f t="shared" si="2"/>
        <v>28</v>
      </c>
      <c r="J13" s="13">
        <f t="shared" si="3"/>
        <v>1568</v>
      </c>
      <c r="K13" s="13">
        <f>IFERROR(__xludf.DUMMYFUNCTION("IF(REGEXMATCH(A13,""conv""),H13*B13*E13*E13+H13 , IF(REGEXMATCH(A13,""pool""),0, IF(REGEXMATCH(A13,""fc""),H13*B13*E13*E13+H13,IF(REGEXMATCH(A13,""flatten""),0))))"),1180160.0)</f>
        <v>1180160</v>
      </c>
      <c r="L13" s="23"/>
    </row>
    <row r="14">
      <c r="A14" s="18" t="s">
        <v>60</v>
      </c>
      <c r="B14" s="19">
        <f t="shared" ref="B14:C14" si="13">H13</f>
        <v>512</v>
      </c>
      <c r="C14" s="19">
        <f t="shared" si="13"/>
        <v>28</v>
      </c>
      <c r="D14" s="18">
        <v>512.0</v>
      </c>
      <c r="E14" s="18">
        <v>3.0</v>
      </c>
      <c r="F14" s="18">
        <v>1.0</v>
      </c>
      <c r="G14" s="18">
        <v>1.0</v>
      </c>
      <c r="H14" s="13">
        <f>IFERROR(__xludf.DUMMYFUNCTION("IF(REGEXMATCH(A14,""conv""),D14, IF(REGEXMATCH(A14,""pool""),B14,IF(REGEXMATCH(A14,""flatten""),B14*C14*C14, IF(REGEXMATCH(A14,""fc""),D14))))"),512.0)</f>
        <v>512</v>
      </c>
      <c r="I14" s="13">
        <f t="shared" si="2"/>
        <v>28</v>
      </c>
      <c r="J14" s="13">
        <f t="shared" si="3"/>
        <v>1568</v>
      </c>
      <c r="K14" s="13">
        <f>IFERROR(__xludf.DUMMYFUNCTION("IF(REGEXMATCH(A14,""conv""),H14*B14*E14*E14+H14 , IF(REGEXMATCH(A14,""pool""),0, IF(REGEXMATCH(A14,""fc""),H14*B14*E14*E14+H14,IF(REGEXMATCH(A14,""flatten""),0))))"),2359808.0)</f>
        <v>2359808</v>
      </c>
      <c r="L14" s="23"/>
    </row>
    <row r="15">
      <c r="A15" s="18" t="s">
        <v>61</v>
      </c>
      <c r="B15" s="19">
        <f t="shared" ref="B15:C15" si="14">H14</f>
        <v>512</v>
      </c>
      <c r="C15" s="19">
        <f t="shared" si="14"/>
        <v>28</v>
      </c>
      <c r="D15" s="18">
        <v>512.0</v>
      </c>
      <c r="E15" s="18">
        <v>3.0</v>
      </c>
      <c r="F15" s="18">
        <v>1.0</v>
      </c>
      <c r="G15" s="18">
        <v>1.0</v>
      </c>
      <c r="H15" s="13">
        <f>IFERROR(__xludf.DUMMYFUNCTION("IF(REGEXMATCH(A15,""conv""),D15, IF(REGEXMATCH(A15,""pool""),B15,IF(REGEXMATCH(A15,""flatten""),B15*C15*C15, IF(REGEXMATCH(A15,""fc""),D15))))"),512.0)</f>
        <v>512</v>
      </c>
      <c r="I15" s="13">
        <f t="shared" si="2"/>
        <v>28</v>
      </c>
      <c r="J15" s="13">
        <f t="shared" si="3"/>
        <v>1568</v>
      </c>
      <c r="K15" s="13">
        <f>IFERROR(__xludf.DUMMYFUNCTION("IF(REGEXMATCH(A15,""conv""),H15*B15*E15*E15+H15 , IF(REGEXMATCH(A15,""pool""),0, IF(REGEXMATCH(A15,""fc""),H15*B15*E15*E15+H15,IF(REGEXMATCH(A15,""flatten""),0))))"),2359808.0)</f>
        <v>2359808</v>
      </c>
      <c r="L15" s="13"/>
    </row>
    <row r="16">
      <c r="A16" s="18" t="s">
        <v>62</v>
      </c>
      <c r="B16" s="19">
        <f t="shared" ref="B16:C16" si="15">H15</f>
        <v>512</v>
      </c>
      <c r="C16" s="19">
        <f t="shared" si="15"/>
        <v>28</v>
      </c>
      <c r="D16" s="18">
        <v>1.0</v>
      </c>
      <c r="E16" s="18">
        <v>2.0</v>
      </c>
      <c r="F16" s="18">
        <v>2.0</v>
      </c>
      <c r="G16" s="18">
        <v>0.0</v>
      </c>
      <c r="H16" s="13">
        <f>IFERROR(__xludf.DUMMYFUNCTION("IF(REGEXMATCH(A16,""conv""),D16, IF(REGEXMATCH(A16,""pool""),B16,IF(REGEXMATCH(A16,""flatten""),B16*C16*C16, IF(REGEXMATCH(A16,""fc""),D16))))"),512.0)</f>
        <v>512</v>
      </c>
      <c r="I16" s="13">
        <f t="shared" si="2"/>
        <v>14</v>
      </c>
      <c r="J16" s="13">
        <f t="shared" si="3"/>
        <v>392</v>
      </c>
      <c r="K16" s="13">
        <f>IFERROR(__xludf.DUMMYFUNCTION("IF(REGEXMATCH(A16,""conv""),H16*B16*E16*E16+H16 , IF(REGEXMATCH(A16,""pool""),0, IF(REGEXMATCH(A16,""fc""),H16*B16*E16*E16+H16,IF(REGEXMATCH(A16,""flatten""),0))))"),0.0)</f>
        <v>0</v>
      </c>
      <c r="L16" s="13"/>
    </row>
    <row r="17">
      <c r="A17" s="18" t="s">
        <v>63</v>
      </c>
      <c r="B17" s="19">
        <f t="shared" ref="B17:C17" si="16">H16</f>
        <v>512</v>
      </c>
      <c r="C17" s="19">
        <f t="shared" si="16"/>
        <v>14</v>
      </c>
      <c r="D17" s="18">
        <v>512.0</v>
      </c>
      <c r="E17" s="18">
        <v>3.0</v>
      </c>
      <c r="F17" s="18">
        <v>1.0</v>
      </c>
      <c r="G17" s="18">
        <v>1.0</v>
      </c>
      <c r="H17" s="13">
        <f>IFERROR(__xludf.DUMMYFUNCTION("IF(REGEXMATCH(A17,""conv""),D17, IF(REGEXMATCH(A17,""pool""),B17,IF(REGEXMATCH(A17,""flatten""),B17*C17*C17, IF(REGEXMATCH(A17,""fc""),D17))))"),512.0)</f>
        <v>512</v>
      </c>
      <c r="I17" s="13">
        <f t="shared" si="2"/>
        <v>14</v>
      </c>
      <c r="J17" s="13">
        <f t="shared" si="3"/>
        <v>392</v>
      </c>
      <c r="K17" s="13">
        <f>IFERROR(__xludf.DUMMYFUNCTION("IF(REGEXMATCH(A17,""conv""),H17*B17*E17*E17+H17 , IF(REGEXMATCH(A17,""pool""),0, IF(REGEXMATCH(A17,""fc""),H17*B17*E17*E17+H17,IF(REGEXMATCH(A17,""flatten""),0))))"),2359808.0)</f>
        <v>2359808</v>
      </c>
      <c r="L17" s="13"/>
    </row>
    <row r="18">
      <c r="A18" s="18" t="s">
        <v>64</v>
      </c>
      <c r="B18" s="19">
        <f t="shared" ref="B18:C18" si="17">H17</f>
        <v>512</v>
      </c>
      <c r="C18" s="19">
        <f t="shared" si="17"/>
        <v>14</v>
      </c>
      <c r="D18" s="18">
        <v>512.0</v>
      </c>
      <c r="E18" s="18">
        <v>3.0</v>
      </c>
      <c r="F18" s="18">
        <v>1.0</v>
      </c>
      <c r="G18" s="18">
        <v>1.0</v>
      </c>
      <c r="H18" s="13">
        <f>IFERROR(__xludf.DUMMYFUNCTION("IF(REGEXMATCH(A18,""conv""),D18, IF(REGEXMATCH(A18,""pool""),B18,IF(REGEXMATCH(A18,""flatten""),B18*C18*C18, IF(REGEXMATCH(A18,""fc""),D18))))"),512.0)</f>
        <v>512</v>
      </c>
      <c r="I18" s="13">
        <f t="shared" si="2"/>
        <v>14</v>
      </c>
      <c r="J18" s="13">
        <f t="shared" si="3"/>
        <v>392</v>
      </c>
      <c r="K18" s="13">
        <f>IFERROR(__xludf.DUMMYFUNCTION("IF(REGEXMATCH(A18,""conv""),H18*B18*E18*E18+H18 , IF(REGEXMATCH(A18,""pool""),0, IF(REGEXMATCH(A18,""fc""),H18*B18*E18*E18+H18,IF(REGEXMATCH(A18,""flatten""),0))))"),2359808.0)</f>
        <v>2359808</v>
      </c>
      <c r="L18" s="13"/>
    </row>
    <row r="19">
      <c r="A19" s="18" t="s">
        <v>65</v>
      </c>
      <c r="B19" s="19">
        <f t="shared" ref="B19:C19" si="18">H18</f>
        <v>512</v>
      </c>
      <c r="C19" s="19">
        <f t="shared" si="18"/>
        <v>14</v>
      </c>
      <c r="D19" s="18">
        <v>512.0</v>
      </c>
      <c r="E19" s="18">
        <v>3.0</v>
      </c>
      <c r="F19" s="18">
        <v>1.0</v>
      </c>
      <c r="G19" s="18">
        <v>1.0</v>
      </c>
      <c r="H19" s="13">
        <f>IFERROR(__xludf.DUMMYFUNCTION("IF(REGEXMATCH(A19,""conv""),D19, IF(REGEXMATCH(A19,""pool""),B19,IF(REGEXMATCH(A19,""flatten""),B19*C19*C19, IF(REGEXMATCH(A19,""fc""),D19))))"),512.0)</f>
        <v>512</v>
      </c>
      <c r="I19" s="13">
        <f t="shared" si="2"/>
        <v>14</v>
      </c>
      <c r="J19" s="13">
        <f t="shared" si="3"/>
        <v>392</v>
      </c>
      <c r="K19" s="13">
        <f>IFERROR(__xludf.DUMMYFUNCTION("IF(REGEXMATCH(A19,""conv""),H19*B19*E19*E19+H19 , IF(REGEXMATCH(A19,""pool""),0, IF(REGEXMATCH(A19,""fc""),H19*B19*E19*E19+H19,IF(REGEXMATCH(A19,""flatten""),0))))"),2359808.0)</f>
        <v>2359808</v>
      </c>
      <c r="L19" s="13"/>
    </row>
    <row r="20">
      <c r="A20" s="18" t="s">
        <v>66</v>
      </c>
      <c r="B20" s="19">
        <f t="shared" ref="B20:C20" si="19">H19</f>
        <v>512</v>
      </c>
      <c r="C20" s="19">
        <f t="shared" si="19"/>
        <v>14</v>
      </c>
      <c r="D20" s="18">
        <v>1.0</v>
      </c>
      <c r="E20" s="18">
        <v>2.0</v>
      </c>
      <c r="F20" s="18">
        <v>2.0</v>
      </c>
      <c r="G20" s="18">
        <v>0.0</v>
      </c>
      <c r="H20" s="13">
        <f>IFERROR(__xludf.DUMMYFUNCTION("IF(REGEXMATCH(A20,""conv""),D20, IF(REGEXMATCH(A20,""pool""),B20,IF(REGEXMATCH(A20,""flatten""),B20*C20*C20, IF(REGEXMATCH(A20,""fc""),D20))))"),512.0)</f>
        <v>512</v>
      </c>
      <c r="I20" s="13">
        <f t="shared" si="2"/>
        <v>7</v>
      </c>
      <c r="J20" s="13">
        <f t="shared" si="3"/>
        <v>98</v>
      </c>
      <c r="K20" s="13">
        <f>IFERROR(__xludf.DUMMYFUNCTION("IF(REGEXMATCH(A20,""conv""),H20*B20*E20*E20+H20 , IF(REGEXMATCH(A20,""pool""),0, IF(REGEXMATCH(A20,""fc""),H20*B20*E20*E20+H20,IF(REGEXMATCH(A20,""flatten""),0))))"),0.0)</f>
        <v>0</v>
      </c>
      <c r="L20" s="13"/>
    </row>
    <row r="21">
      <c r="A21" s="18" t="s">
        <v>49</v>
      </c>
      <c r="B21" s="19">
        <f t="shared" ref="B21:C21" si="20">H20</f>
        <v>512</v>
      </c>
      <c r="C21" s="19">
        <f t="shared" si="20"/>
        <v>7</v>
      </c>
      <c r="D21" s="18">
        <v>0.0</v>
      </c>
      <c r="E21" s="18">
        <v>0.0</v>
      </c>
      <c r="F21" s="18">
        <v>0.0</v>
      </c>
      <c r="G21" s="18">
        <v>0.0</v>
      </c>
      <c r="H21" s="13">
        <f>IFERROR(__xludf.DUMMYFUNCTION("IF(REGEXMATCH(A21,""conv""),D21, IF(REGEXMATCH(A21,""pool""),B21,IF(REGEXMATCH(A21,""flatten""),B21*C21*C21, IF(REGEXMATCH(A21,""fc""),D21))))"),25088.0)</f>
        <v>25088</v>
      </c>
      <c r="I21" s="18">
        <v>1.0</v>
      </c>
      <c r="J21" s="13">
        <f t="shared" si="3"/>
        <v>98</v>
      </c>
      <c r="K21" s="13">
        <f>IFERROR(__xludf.DUMMYFUNCTION("IF(REGEXMATCH(A21,""conv""),H21*B21*E21*E21+H21 , IF(REGEXMATCH(A21,""pool""),0, IF(REGEXMATCH(A21,""fc""),H21*B21*E21*E21+H21,IF(REGEXMATCH(A21,""flatten""),0))))"),0.0)</f>
        <v>0</v>
      </c>
      <c r="L21" s="13"/>
    </row>
    <row r="22">
      <c r="A22" s="18" t="s">
        <v>67</v>
      </c>
      <c r="B22" s="19">
        <f t="shared" ref="B22:C22" si="21">H21</f>
        <v>25088</v>
      </c>
      <c r="C22" s="19">
        <f t="shared" si="21"/>
        <v>1</v>
      </c>
      <c r="D22" s="18">
        <v>4096.0</v>
      </c>
      <c r="E22" s="18">
        <v>1.0</v>
      </c>
      <c r="F22" s="18">
        <v>1.0</v>
      </c>
      <c r="G22" s="18">
        <v>0.0</v>
      </c>
      <c r="H22" s="13">
        <f>IFERROR(__xludf.DUMMYFUNCTION("IF(REGEXMATCH(A22,""conv""),D22, IF(REGEXMATCH(A22,""pool""),B22,IF(REGEXMATCH(A22,""flatten""),B22*C22*C22, IF(REGEXMATCH(A22,""fc""),D22))))"),4096.0)</f>
        <v>4096</v>
      </c>
      <c r="I22" s="18">
        <v>1.0</v>
      </c>
      <c r="J22" s="13">
        <f t="shared" si="3"/>
        <v>16</v>
      </c>
      <c r="K22" s="13">
        <f>IFERROR(__xludf.DUMMYFUNCTION("IF(REGEXMATCH(A22,""conv""),H22*B22*E22*E22+H22 , IF(REGEXMATCH(A22,""pool""),0, IF(REGEXMATCH(A22,""fc""),H22*B22*E22*E22+H22,IF(REGEXMATCH(A22,""flatten""),0))))"),1.02764544E8)</f>
        <v>102764544</v>
      </c>
      <c r="L22" s="13"/>
    </row>
    <row r="23">
      <c r="A23" s="18" t="s">
        <v>68</v>
      </c>
      <c r="B23" s="19">
        <f t="shared" ref="B23:C23" si="22">H22</f>
        <v>4096</v>
      </c>
      <c r="C23" s="19">
        <f t="shared" si="22"/>
        <v>1</v>
      </c>
      <c r="D23" s="18">
        <v>4096.0</v>
      </c>
      <c r="E23" s="18">
        <v>1.0</v>
      </c>
      <c r="F23" s="18">
        <v>1.0</v>
      </c>
      <c r="G23" s="18">
        <v>0.0</v>
      </c>
      <c r="H23" s="13">
        <f>IFERROR(__xludf.DUMMYFUNCTION("IF(REGEXMATCH(A23,""conv""),D23, IF(REGEXMATCH(A23,""pool""),B23,IF(REGEXMATCH(A23,""flatten""),B23*C23*C23, IF(REGEXMATCH(A23,""fc""),D23))))"),4096.0)</f>
        <v>4096</v>
      </c>
      <c r="I23" s="18">
        <v>1.0</v>
      </c>
      <c r="J23" s="13">
        <f t="shared" si="3"/>
        <v>16</v>
      </c>
      <c r="K23" s="13">
        <f>IFERROR(__xludf.DUMMYFUNCTION("IF(REGEXMATCH(A23,""conv""),H23*B23*E23*E23+H23 , IF(REGEXMATCH(A23,""pool""),0, IF(REGEXMATCH(A23,""fc""),H23*B23*E23*E23+H23,IF(REGEXMATCH(A23,""flatten""),0))))"),1.6781312E7)</f>
        <v>16781312</v>
      </c>
      <c r="L23" s="13"/>
    </row>
    <row r="24">
      <c r="A24" s="18" t="s">
        <v>69</v>
      </c>
      <c r="B24" s="19">
        <f t="shared" ref="B24:C24" si="23">H23</f>
        <v>4096</v>
      </c>
      <c r="C24" s="19">
        <f t="shared" si="23"/>
        <v>1</v>
      </c>
      <c r="D24" s="18">
        <v>1000.0</v>
      </c>
      <c r="E24" s="18">
        <v>1.0</v>
      </c>
      <c r="F24" s="18">
        <v>1.0</v>
      </c>
      <c r="G24" s="18">
        <v>0.0</v>
      </c>
      <c r="H24" s="13">
        <f>IFERROR(__xludf.DUMMYFUNCTION("IF(REGEXMATCH(A24,""conv""),D24, IF(REGEXMATCH(A24,""pool""),B24,IF(REGEXMATCH(A24,""flatten""),B24*C24*C24, IF(REGEXMATCH(A24,""fc""),D24))))"),1000.0)</f>
        <v>1000</v>
      </c>
      <c r="I24" s="18">
        <v>1.0</v>
      </c>
      <c r="J24" s="13">
        <f t="shared" si="3"/>
        <v>4</v>
      </c>
      <c r="K24" s="13">
        <f>IFERROR(__xludf.DUMMYFUNCTION("IF(REGEXMATCH(A24,""conv""),H24*B24*E24*E24+H24 , IF(REGEXMATCH(A24,""pool""),0, IF(REGEXMATCH(A24,""fc""),H24*B24*E24*E24+H24,IF(REGEXMATCH(A24,""flatten""),0))))"),4097000.0)</f>
        <v>4097000</v>
      </c>
      <c r="L24" s="13"/>
    </row>
    <row r="25">
      <c r="J25" s="28">
        <f t="shared" ref="J25:K25" si="24">SUM(J3:J24)</f>
        <v>59032</v>
      </c>
      <c r="K25" s="28">
        <f t="shared" si="24"/>
        <v>138357544</v>
      </c>
    </row>
  </sheetData>
  <mergeCells count="3">
    <mergeCell ref="B1:C1"/>
    <mergeCell ref="D1:G1"/>
    <mergeCell ref="H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/>
      <c r="B1" s="14" t="s">
        <v>31</v>
      </c>
      <c r="C1" s="3"/>
      <c r="D1" s="14" t="s">
        <v>1</v>
      </c>
      <c r="E1" s="5"/>
      <c r="F1" s="5"/>
      <c r="G1" s="3"/>
      <c r="H1" s="15" t="s">
        <v>2</v>
      </c>
      <c r="I1" s="3"/>
      <c r="J1" s="13"/>
      <c r="K1" s="13"/>
      <c r="L1" s="13"/>
    </row>
    <row r="2">
      <c r="A2" s="16" t="s">
        <v>32</v>
      </c>
      <c r="B2" s="16" t="s">
        <v>4</v>
      </c>
      <c r="C2" s="16" t="s">
        <v>33</v>
      </c>
      <c r="D2" s="16" t="s">
        <v>34</v>
      </c>
      <c r="E2" s="16" t="s">
        <v>35</v>
      </c>
      <c r="F2" s="16" t="s">
        <v>36</v>
      </c>
      <c r="G2" s="16" t="s">
        <v>54</v>
      </c>
      <c r="H2" s="16" t="s">
        <v>4</v>
      </c>
      <c r="I2" s="16" t="s">
        <v>33</v>
      </c>
      <c r="J2" s="16" t="s">
        <v>38</v>
      </c>
      <c r="K2" s="16" t="s">
        <v>39</v>
      </c>
      <c r="L2" s="16" t="s">
        <v>40</v>
      </c>
    </row>
    <row r="3">
      <c r="A3" s="17" t="s">
        <v>41</v>
      </c>
      <c r="B3" s="17">
        <v>3.0</v>
      </c>
      <c r="C3" s="17">
        <v>224.0</v>
      </c>
      <c r="D3" s="17">
        <v>64.0</v>
      </c>
      <c r="E3" s="17">
        <v>3.0</v>
      </c>
      <c r="F3" s="17">
        <v>1.0</v>
      </c>
      <c r="G3" s="17">
        <v>1.0</v>
      </c>
      <c r="H3" s="13">
        <f>IFERROR(__xludf.DUMMYFUNCTION("IF(REGEXMATCH(A3,""conv""),D3, IF(REGEXMATCH(A3,""pool""),B3))"),64.0)</f>
        <v>64</v>
      </c>
      <c r="I3" s="13">
        <f t="shared" ref="I3:I23" si="2">ROUNDUP((C3-E3+2*G3)/F3)+1</f>
        <v>224</v>
      </c>
      <c r="J3" s="13">
        <f t="shared" ref="J3:J27" si="3">ROUNDUP(H3*I3*I3*4/1024)</f>
        <v>12544</v>
      </c>
      <c r="K3" s="13">
        <f>IFERROR(__xludf.DUMMYFUNCTION("IF(REGEXMATCH(A3,""conv""),H3*B3*E3*E3+H3 , IF(REGEXMATCH(A3,""pool""),0))"),1792.0)</f>
        <v>1792</v>
      </c>
      <c r="L3" s="13"/>
    </row>
    <row r="4">
      <c r="A4" s="19" t="s">
        <v>43</v>
      </c>
      <c r="B4" s="19">
        <f t="shared" ref="B4:C4" si="1">H3</f>
        <v>64</v>
      </c>
      <c r="C4" s="19">
        <f t="shared" si="1"/>
        <v>224</v>
      </c>
      <c r="D4" s="19">
        <v>64.0</v>
      </c>
      <c r="E4" s="19">
        <v>3.0</v>
      </c>
      <c r="F4" s="19">
        <v>1.0</v>
      </c>
      <c r="G4" s="19">
        <v>1.0</v>
      </c>
      <c r="H4" s="13">
        <f>IFERROR(__xludf.DUMMYFUNCTION("IF(REGEXMATCH(A4,""conv""),D4, IF(REGEXMATCH(A4,""pool""),B4))"),64.0)</f>
        <v>64</v>
      </c>
      <c r="I4" s="13">
        <f t="shared" si="2"/>
        <v>224</v>
      </c>
      <c r="J4" s="13">
        <f t="shared" si="3"/>
        <v>12544</v>
      </c>
      <c r="K4" s="13">
        <f>IFERROR(__xludf.DUMMYFUNCTION("IF(REGEXMATCH(A4,""conv""),H4*B4*E4*E4+H4 , IF(REGEXMATCH(A4,""pool""),0))"),36928.0)</f>
        <v>36928</v>
      </c>
      <c r="L4" s="13"/>
    </row>
    <row r="5">
      <c r="A5" s="19" t="s">
        <v>44</v>
      </c>
      <c r="B5" s="19">
        <f t="shared" ref="B5:C5" si="4">H4</f>
        <v>64</v>
      </c>
      <c r="C5" s="19">
        <f t="shared" si="4"/>
        <v>224</v>
      </c>
      <c r="D5" s="19">
        <v>1.0</v>
      </c>
      <c r="E5" s="19">
        <v>2.0</v>
      </c>
      <c r="F5" s="19">
        <v>2.0</v>
      </c>
      <c r="G5" s="19">
        <v>0.0</v>
      </c>
      <c r="H5" s="13">
        <f>IFERROR(__xludf.DUMMYFUNCTION("IF(REGEXMATCH(A5,""conv""),D5, IF(REGEXMATCH(A5,""pool""),B5))"),64.0)</f>
        <v>64</v>
      </c>
      <c r="I5" s="13">
        <f t="shared" si="2"/>
        <v>112</v>
      </c>
      <c r="J5" s="13">
        <f t="shared" si="3"/>
        <v>3136</v>
      </c>
      <c r="K5" s="13">
        <f>IFERROR(__xludf.DUMMYFUNCTION("IF(REGEXMATCH(A5,""conv""),H5*B5*E5*E5+H5 , IF(REGEXMATCH(A5,""pool""),0))"),0.0)</f>
        <v>0</v>
      </c>
      <c r="L5" s="19"/>
    </row>
    <row r="6">
      <c r="A6" s="19" t="s">
        <v>45</v>
      </c>
      <c r="B6" s="19">
        <f t="shared" ref="B6:C6" si="5">H5</f>
        <v>64</v>
      </c>
      <c r="C6" s="19">
        <f t="shared" si="5"/>
        <v>112</v>
      </c>
      <c r="D6" s="19">
        <v>128.0</v>
      </c>
      <c r="E6" s="19">
        <v>3.0</v>
      </c>
      <c r="F6" s="19">
        <v>1.0</v>
      </c>
      <c r="G6" s="19">
        <v>1.0</v>
      </c>
      <c r="H6" s="13">
        <f>IFERROR(__xludf.DUMMYFUNCTION("IF(REGEXMATCH(A6,""conv""),D6, IF(REGEXMATCH(A6,""pool""),B6))"),128.0)</f>
        <v>128</v>
      </c>
      <c r="I6" s="13">
        <f t="shared" si="2"/>
        <v>112</v>
      </c>
      <c r="J6" s="13">
        <f t="shared" si="3"/>
        <v>6272</v>
      </c>
      <c r="K6" s="13">
        <f>IFERROR(__xludf.DUMMYFUNCTION("IF(REGEXMATCH(A6,""conv""),H6*B6*E6*E6+H6 , IF(REGEXMATCH(A6,""pool""),0))"),73856.0)</f>
        <v>73856</v>
      </c>
      <c r="L6" s="19"/>
    </row>
    <row r="7">
      <c r="A7" s="19" t="s">
        <v>46</v>
      </c>
      <c r="B7" s="19">
        <f t="shared" ref="B7:C7" si="6">H6</f>
        <v>128</v>
      </c>
      <c r="C7" s="19">
        <f t="shared" si="6"/>
        <v>112</v>
      </c>
      <c r="D7" s="19">
        <v>128.0</v>
      </c>
      <c r="E7" s="19">
        <v>3.0</v>
      </c>
      <c r="F7" s="19">
        <v>1.0</v>
      </c>
      <c r="G7" s="19">
        <v>1.0</v>
      </c>
      <c r="H7" s="13">
        <f>IFERROR(__xludf.DUMMYFUNCTION("IF(REGEXMATCH(A7,""conv""),D7, IF(REGEXMATCH(A7,""pool""),B7))"),128.0)</f>
        <v>128</v>
      </c>
      <c r="I7" s="13">
        <f t="shared" si="2"/>
        <v>112</v>
      </c>
      <c r="J7" s="13">
        <f t="shared" si="3"/>
        <v>6272</v>
      </c>
      <c r="K7" s="13">
        <f>IFERROR(__xludf.DUMMYFUNCTION("IF(REGEXMATCH(A7,""conv""),H7*B7*E7*E7+H7 , IF(REGEXMATCH(A7,""pool""),0))"),147584.0)</f>
        <v>147584</v>
      </c>
      <c r="L7" s="19"/>
    </row>
    <row r="8">
      <c r="A8" s="19" t="s">
        <v>55</v>
      </c>
      <c r="B8" s="19">
        <f t="shared" ref="B8:C8" si="7">H7</f>
        <v>128</v>
      </c>
      <c r="C8" s="19">
        <f t="shared" si="7"/>
        <v>112</v>
      </c>
      <c r="D8" s="19">
        <v>1.0</v>
      </c>
      <c r="E8" s="19">
        <v>2.0</v>
      </c>
      <c r="F8" s="19">
        <v>2.0</v>
      </c>
      <c r="G8" s="19">
        <v>0.0</v>
      </c>
      <c r="H8" s="13">
        <f>IFERROR(__xludf.DUMMYFUNCTION("IF(REGEXMATCH(A8,""conv""),D8, IF(REGEXMATCH(A8,""pool""),B8))"),128.0)</f>
        <v>128</v>
      </c>
      <c r="I8" s="13">
        <f t="shared" si="2"/>
        <v>56</v>
      </c>
      <c r="J8" s="13">
        <f t="shared" si="3"/>
        <v>1568</v>
      </c>
      <c r="K8" s="13">
        <f>IFERROR(__xludf.DUMMYFUNCTION("IF(REGEXMATCH(A8,""conv""),H8*B8*E8*E8+H8 , IF(REGEXMATCH(A8,""pool""),0))"),0.0)</f>
        <v>0</v>
      </c>
      <c r="L8" s="19"/>
    </row>
    <row r="9">
      <c r="A9" s="19" t="s">
        <v>47</v>
      </c>
      <c r="B9" s="19">
        <f t="shared" ref="B9:C9" si="8">H8</f>
        <v>128</v>
      </c>
      <c r="C9" s="19">
        <f t="shared" si="8"/>
        <v>56</v>
      </c>
      <c r="D9" s="19">
        <v>256.0</v>
      </c>
      <c r="E9" s="19">
        <v>3.0</v>
      </c>
      <c r="F9" s="19">
        <v>1.0</v>
      </c>
      <c r="G9" s="19">
        <v>1.0</v>
      </c>
      <c r="H9" s="13">
        <f>IFERROR(__xludf.DUMMYFUNCTION("IF(REGEXMATCH(A9,""conv""),D9, IF(REGEXMATCH(A9,""pool""),B9))"),256.0)</f>
        <v>256</v>
      </c>
      <c r="I9" s="13">
        <f t="shared" si="2"/>
        <v>56</v>
      </c>
      <c r="J9" s="13">
        <f t="shared" si="3"/>
        <v>3136</v>
      </c>
      <c r="K9" s="13">
        <f>IFERROR(__xludf.DUMMYFUNCTION("IF(REGEXMATCH(A9,""conv""),H9*B9*E9*E9+H9 , IF(REGEXMATCH(A9,""pool""),0))"),295168.0)</f>
        <v>295168</v>
      </c>
      <c r="L9" s="19"/>
    </row>
    <row r="10">
      <c r="A10" s="19" t="s">
        <v>56</v>
      </c>
      <c r="B10" s="19">
        <f t="shared" ref="B10:C10" si="9">H9</f>
        <v>256</v>
      </c>
      <c r="C10" s="19">
        <f t="shared" si="9"/>
        <v>56</v>
      </c>
      <c r="D10" s="19">
        <v>256.0</v>
      </c>
      <c r="E10" s="19">
        <v>3.0</v>
      </c>
      <c r="F10" s="19">
        <v>1.0</v>
      </c>
      <c r="G10" s="19">
        <v>1.0</v>
      </c>
      <c r="H10" s="13">
        <f>IFERROR(__xludf.DUMMYFUNCTION("IF(REGEXMATCH(A10,""conv""),D10, IF(REGEXMATCH(A10,""pool""),B10))"),256.0)</f>
        <v>256</v>
      </c>
      <c r="I10" s="13">
        <f t="shared" si="2"/>
        <v>56</v>
      </c>
      <c r="J10" s="13">
        <f t="shared" si="3"/>
        <v>3136</v>
      </c>
      <c r="K10" s="13">
        <f>IFERROR(__xludf.DUMMYFUNCTION("IF(REGEXMATCH(A10,""conv""),H10*B10*E10*E10+H10 , IF(REGEXMATCH(A10,""pool""),0))"),590080.0)</f>
        <v>590080</v>
      </c>
      <c r="L10" s="19"/>
    </row>
    <row r="11">
      <c r="A11" s="21" t="s">
        <v>57</v>
      </c>
      <c r="B11" s="19">
        <f t="shared" ref="B11:C11" si="10">H10</f>
        <v>256</v>
      </c>
      <c r="C11" s="19">
        <f t="shared" si="10"/>
        <v>56</v>
      </c>
      <c r="D11" s="21">
        <v>256.0</v>
      </c>
      <c r="E11" s="21">
        <v>3.0</v>
      </c>
      <c r="F11" s="21">
        <v>1.0</v>
      </c>
      <c r="G11" s="21">
        <v>1.0</v>
      </c>
      <c r="H11" s="13">
        <f>IFERROR(__xludf.DUMMYFUNCTION("IF(REGEXMATCH(A11,""conv""),D11, IF(REGEXMATCH(A11,""pool""),B11,IF(REGEXMATCH(A11,""flatten""),B11*C11*C11)))"),256.0)</f>
        <v>256</v>
      </c>
      <c r="I11" s="13">
        <f t="shared" si="2"/>
        <v>56</v>
      </c>
      <c r="J11" s="13">
        <f t="shared" si="3"/>
        <v>3136</v>
      </c>
      <c r="K11" s="13">
        <f>IFERROR(__xludf.DUMMYFUNCTION("IF(REGEXMATCH(A11,""conv""),H11*B11*E11*E11+H11 , IF(REGEXMATCH(A11,""pool""),0))"),590080.0)</f>
        <v>590080</v>
      </c>
      <c r="L11" s="22"/>
    </row>
    <row r="12">
      <c r="A12" s="18" t="s">
        <v>70</v>
      </c>
      <c r="B12" s="19">
        <f t="shared" ref="B12:C12" si="11">H11</f>
        <v>256</v>
      </c>
      <c r="C12" s="19">
        <f t="shared" si="11"/>
        <v>56</v>
      </c>
      <c r="D12" s="18">
        <v>256.0</v>
      </c>
      <c r="E12" s="18">
        <v>3.0</v>
      </c>
      <c r="F12" s="18">
        <v>1.0</v>
      </c>
      <c r="G12" s="18">
        <v>1.0</v>
      </c>
      <c r="H12" s="13">
        <f>IFERROR(__xludf.DUMMYFUNCTION("IF(REGEXMATCH(A12,""conv""),D12, IF(REGEXMATCH(A12,""pool""),B12,IF(REGEXMATCH(A12,""flatten""),B12*C12*C12)))"),256.0)</f>
        <v>256</v>
      </c>
      <c r="I12" s="13">
        <f t="shared" si="2"/>
        <v>56</v>
      </c>
      <c r="J12" s="13">
        <f t="shared" si="3"/>
        <v>3136</v>
      </c>
      <c r="K12" s="13">
        <f>IFERROR(__xludf.DUMMYFUNCTION("IF(REGEXMATCH(A12,""conv""),H12*B12*E12*E12+H12 , IF(REGEXMATCH(A12,""pool""),0))"),590080.0)</f>
        <v>590080</v>
      </c>
      <c r="L12" s="13"/>
    </row>
    <row r="13">
      <c r="A13" s="17" t="s">
        <v>58</v>
      </c>
      <c r="B13" s="19">
        <f t="shared" ref="B13:C13" si="12">H12</f>
        <v>256</v>
      </c>
      <c r="C13" s="19">
        <f t="shared" si="12"/>
        <v>56</v>
      </c>
      <c r="D13" s="17">
        <v>1.0</v>
      </c>
      <c r="E13" s="17">
        <v>2.0</v>
      </c>
      <c r="F13" s="17">
        <v>2.0</v>
      </c>
      <c r="G13" s="17">
        <v>0.0</v>
      </c>
      <c r="H13" s="13">
        <f>IFERROR(__xludf.DUMMYFUNCTION("IF(REGEXMATCH(A13,""conv""),D13, IF(REGEXMATCH(A13,""pool""),B13,IF(REGEXMATCH(A13,""flatten""),B13*C13*C13)))"),256.0)</f>
        <v>256</v>
      </c>
      <c r="I13" s="13">
        <f t="shared" si="2"/>
        <v>28</v>
      </c>
      <c r="J13" s="13">
        <f t="shared" si="3"/>
        <v>784</v>
      </c>
      <c r="K13" s="13">
        <f>IFERROR(__xludf.DUMMYFUNCTION("IF(REGEXMATCH(A13,""conv""),H13*B13*E13*E13+H13 , IF(REGEXMATCH(A13,""pool""),0))"),0.0)</f>
        <v>0</v>
      </c>
      <c r="L13" s="13"/>
    </row>
    <row r="14">
      <c r="A14" s="17" t="s">
        <v>59</v>
      </c>
      <c r="B14" s="19">
        <f t="shared" ref="B14:C14" si="13">H13</f>
        <v>256</v>
      </c>
      <c r="C14" s="19">
        <f t="shared" si="13"/>
        <v>28</v>
      </c>
      <c r="D14" s="17">
        <v>512.0</v>
      </c>
      <c r="E14" s="17">
        <v>3.0</v>
      </c>
      <c r="F14" s="17">
        <v>1.0</v>
      </c>
      <c r="G14" s="17">
        <v>1.0</v>
      </c>
      <c r="H14" s="13">
        <f>IFERROR(__xludf.DUMMYFUNCTION("IF(REGEXMATCH(A14,""conv""),D14, IF(REGEXMATCH(A14,""pool""),B14,IF(REGEXMATCH(A14,""flatten""),B14*C14*C14)))"),512.0)</f>
        <v>512</v>
      </c>
      <c r="I14" s="13">
        <f t="shared" si="2"/>
        <v>28</v>
      </c>
      <c r="J14" s="13">
        <f t="shared" si="3"/>
        <v>1568</v>
      </c>
      <c r="K14" s="13">
        <f>IFERROR(__xludf.DUMMYFUNCTION("IF(REGEXMATCH(A14,""conv""),H14*B14*E14*E14+H14 , IF(REGEXMATCH(A14,""pool""),0))"),1180160.0)</f>
        <v>1180160</v>
      </c>
      <c r="L14" s="13"/>
    </row>
    <row r="15">
      <c r="A15" s="17" t="s">
        <v>60</v>
      </c>
      <c r="B15" s="19">
        <f t="shared" ref="B15:C15" si="14">H14</f>
        <v>512</v>
      </c>
      <c r="C15" s="19">
        <f t="shared" si="14"/>
        <v>28</v>
      </c>
      <c r="D15" s="17">
        <v>512.0</v>
      </c>
      <c r="E15" s="17">
        <v>3.0</v>
      </c>
      <c r="F15" s="17">
        <v>1.0</v>
      </c>
      <c r="G15" s="17">
        <v>1.0</v>
      </c>
      <c r="H15" s="13">
        <f>IFERROR(__xludf.DUMMYFUNCTION("IF(REGEXMATCH(A15,""conv""),D15, IF(REGEXMATCH(A15,""pool""),B15,IF(REGEXMATCH(A15,""flatten""),B15*C15*C15)))"),512.0)</f>
        <v>512</v>
      </c>
      <c r="I15" s="13">
        <f t="shared" si="2"/>
        <v>28</v>
      </c>
      <c r="J15" s="13">
        <f t="shared" si="3"/>
        <v>1568</v>
      </c>
      <c r="K15" s="13">
        <f>IFERROR(__xludf.DUMMYFUNCTION("IF(REGEXMATCH(A15,""conv""),H15*B15*E15*E15+H15 , IF(REGEXMATCH(A15,""pool""),0))"),2359808.0)</f>
        <v>2359808</v>
      </c>
      <c r="L15" s="13"/>
    </row>
    <row r="16">
      <c r="A16" s="17" t="s">
        <v>61</v>
      </c>
      <c r="B16" s="19">
        <f t="shared" ref="B16:C16" si="15">H15</f>
        <v>512</v>
      </c>
      <c r="C16" s="19">
        <f t="shared" si="15"/>
        <v>28</v>
      </c>
      <c r="D16" s="17">
        <v>512.0</v>
      </c>
      <c r="E16" s="17">
        <v>3.0</v>
      </c>
      <c r="F16" s="17">
        <v>1.0</v>
      </c>
      <c r="G16" s="17">
        <v>1.0</v>
      </c>
      <c r="H16" s="13">
        <f>IFERROR(__xludf.DUMMYFUNCTION("IF(REGEXMATCH(A16,""conv""),D16, IF(REGEXMATCH(A16,""pool""),B16,IF(REGEXMATCH(A16,""flatten""),B16*C16*C16)))"),512.0)</f>
        <v>512</v>
      </c>
      <c r="I16" s="13">
        <f t="shared" si="2"/>
        <v>28</v>
      </c>
      <c r="J16" s="13">
        <f t="shared" si="3"/>
        <v>1568</v>
      </c>
      <c r="K16" s="13">
        <f>IFERROR(__xludf.DUMMYFUNCTION("IF(REGEXMATCH(A16,""conv""),H16*B16*E16*E16+H16 , IF(REGEXMATCH(A16,""pool""),0))"),2359808.0)</f>
        <v>2359808</v>
      </c>
      <c r="L16" s="13"/>
    </row>
    <row r="17">
      <c r="A17" s="18" t="s">
        <v>71</v>
      </c>
      <c r="B17" s="19">
        <f t="shared" ref="B17:C17" si="16">H16</f>
        <v>512</v>
      </c>
      <c r="C17" s="19">
        <f t="shared" si="16"/>
        <v>28</v>
      </c>
      <c r="D17" s="18">
        <v>512.0</v>
      </c>
      <c r="E17" s="18">
        <v>3.0</v>
      </c>
      <c r="F17" s="18">
        <v>1.0</v>
      </c>
      <c r="G17" s="18">
        <v>1.0</v>
      </c>
      <c r="H17" s="13">
        <f>IFERROR(__xludf.DUMMYFUNCTION("IF(REGEXMATCH(A17,""conv""),D17, IF(REGEXMATCH(A17,""pool""),B17,IF(REGEXMATCH(A17,""flatten""),B17*C17*C17)))"),512.0)</f>
        <v>512</v>
      </c>
      <c r="I17" s="13">
        <f t="shared" si="2"/>
        <v>28</v>
      </c>
      <c r="J17" s="13">
        <f t="shared" si="3"/>
        <v>1568</v>
      </c>
      <c r="K17" s="13">
        <f>IFERROR(__xludf.DUMMYFUNCTION("IF(REGEXMATCH(A17,""conv""),H17*B17*E17*E17+H17 , IF(REGEXMATCH(A17,""pool""),0))"),2359808.0)</f>
        <v>2359808</v>
      </c>
      <c r="L17" s="13"/>
    </row>
    <row r="18">
      <c r="A18" s="17" t="s">
        <v>62</v>
      </c>
      <c r="B18" s="19">
        <f t="shared" ref="B18:C18" si="17">H16</f>
        <v>512</v>
      </c>
      <c r="C18" s="19">
        <f t="shared" si="17"/>
        <v>28</v>
      </c>
      <c r="D18" s="17">
        <v>1.0</v>
      </c>
      <c r="E18" s="17">
        <v>2.0</v>
      </c>
      <c r="F18" s="17">
        <v>2.0</v>
      </c>
      <c r="G18" s="17">
        <v>0.0</v>
      </c>
      <c r="H18" s="13">
        <f>IFERROR(__xludf.DUMMYFUNCTION("IF(REGEXMATCH(A18,""conv""),D18, IF(REGEXMATCH(A18,""pool""),B18,IF(REGEXMATCH(A18,""flatten""),B18*C18*C18, IF(REGEXMATCH(A18,""fc""),D18))))"),512.0)</f>
        <v>512</v>
      </c>
      <c r="I18" s="13">
        <f t="shared" si="2"/>
        <v>14</v>
      </c>
      <c r="J18" s="13">
        <f t="shared" si="3"/>
        <v>392</v>
      </c>
      <c r="K18" s="13">
        <f>IFERROR(__xludf.DUMMYFUNCTION("IF(REGEXMATCH(A18,""conv""),H18*B18*E18*E18+H18 , IF(REGEXMATCH(A18,""pool""),0, IF(REGEXMATCH(A18,""fc""),H18*B18*E18*E18+H18,IF(REGEXMATCH(A18,""flatten""),0))))"),0.0)</f>
        <v>0</v>
      </c>
      <c r="L18" s="13"/>
    </row>
    <row r="19">
      <c r="A19" s="17" t="s">
        <v>63</v>
      </c>
      <c r="B19" s="19">
        <f t="shared" ref="B19:C19" si="18">H18</f>
        <v>512</v>
      </c>
      <c r="C19" s="19">
        <f t="shared" si="18"/>
        <v>14</v>
      </c>
      <c r="D19" s="17">
        <v>512.0</v>
      </c>
      <c r="E19" s="17">
        <v>3.0</v>
      </c>
      <c r="F19" s="17">
        <v>1.0</v>
      </c>
      <c r="G19" s="17">
        <v>1.0</v>
      </c>
      <c r="H19" s="13">
        <f>IFERROR(__xludf.DUMMYFUNCTION("IF(REGEXMATCH(A19,""conv""),D19, IF(REGEXMATCH(A19,""pool""),B19,IF(REGEXMATCH(A19,""flatten""),B19*C19*C19, IF(REGEXMATCH(A19,""fc""),D19))))"),512.0)</f>
        <v>512</v>
      </c>
      <c r="I19" s="13">
        <f t="shared" si="2"/>
        <v>14</v>
      </c>
      <c r="J19" s="13">
        <f t="shared" si="3"/>
        <v>392</v>
      </c>
      <c r="K19" s="13">
        <f>IFERROR(__xludf.DUMMYFUNCTION("IF(REGEXMATCH(A19,""conv""),H19*B19*E19*E19+H19 , IF(REGEXMATCH(A19,""pool""),0, IF(REGEXMATCH(A19,""fc""),H19*B19*E19*E19+H19,IF(REGEXMATCH(A19,""flatten""),0))))"),2359808.0)</f>
        <v>2359808</v>
      </c>
      <c r="L19" s="13"/>
    </row>
    <row r="20">
      <c r="A20" s="17" t="s">
        <v>64</v>
      </c>
      <c r="B20" s="19">
        <f t="shared" ref="B20:C20" si="19">H19</f>
        <v>512</v>
      </c>
      <c r="C20" s="19">
        <f t="shared" si="19"/>
        <v>14</v>
      </c>
      <c r="D20" s="17">
        <v>512.0</v>
      </c>
      <c r="E20" s="17">
        <v>3.0</v>
      </c>
      <c r="F20" s="17">
        <v>1.0</v>
      </c>
      <c r="G20" s="17">
        <v>1.0</v>
      </c>
      <c r="H20" s="13">
        <f>IFERROR(__xludf.DUMMYFUNCTION("IF(REGEXMATCH(A20,""conv""),D20, IF(REGEXMATCH(A20,""pool""),B20,IF(REGEXMATCH(A20,""flatten""),B20*C20*C20, IF(REGEXMATCH(A20,""fc""),D20))))"),512.0)</f>
        <v>512</v>
      </c>
      <c r="I20" s="13">
        <f t="shared" si="2"/>
        <v>14</v>
      </c>
      <c r="J20" s="13">
        <f t="shared" si="3"/>
        <v>392</v>
      </c>
      <c r="K20" s="13">
        <f>IFERROR(__xludf.DUMMYFUNCTION("IF(REGEXMATCH(A20,""conv""),H20*B20*E20*E20+H20 , IF(REGEXMATCH(A20,""pool""),0, IF(REGEXMATCH(A20,""fc""),H20*B20*E20*E20+H20,IF(REGEXMATCH(A20,""flatten""),0))))"),2359808.0)</f>
        <v>2359808</v>
      </c>
      <c r="L20" s="13"/>
    </row>
    <row r="21">
      <c r="A21" s="17" t="s">
        <v>65</v>
      </c>
      <c r="B21" s="19">
        <f t="shared" ref="B21:C21" si="20">H20</f>
        <v>512</v>
      </c>
      <c r="C21" s="19">
        <f t="shared" si="20"/>
        <v>14</v>
      </c>
      <c r="D21" s="17">
        <v>512.0</v>
      </c>
      <c r="E21" s="17">
        <v>3.0</v>
      </c>
      <c r="F21" s="17">
        <v>1.0</v>
      </c>
      <c r="G21" s="17">
        <v>1.0</v>
      </c>
      <c r="H21" s="13">
        <f>IFERROR(__xludf.DUMMYFUNCTION("IF(REGEXMATCH(A21,""conv""),D21, IF(REGEXMATCH(A21,""pool""),B21,IF(REGEXMATCH(A21,""flatten""),B21*C21*C21, IF(REGEXMATCH(A21,""fc""),D21))))"),512.0)</f>
        <v>512</v>
      </c>
      <c r="I21" s="13">
        <f t="shared" si="2"/>
        <v>14</v>
      </c>
      <c r="J21" s="13">
        <f t="shared" si="3"/>
        <v>392</v>
      </c>
      <c r="K21" s="13">
        <f>IFERROR(__xludf.DUMMYFUNCTION("IF(REGEXMATCH(A21,""conv""),H21*B21*E21*E21+H21 , IF(REGEXMATCH(A21,""pool""),0, IF(REGEXMATCH(A21,""fc""),H21*B21*E21*E21+H21,IF(REGEXMATCH(A21,""flatten""),0))))"),2359808.0)</f>
        <v>2359808</v>
      </c>
      <c r="L21" s="13"/>
    </row>
    <row r="22">
      <c r="A22" s="18" t="s">
        <v>72</v>
      </c>
      <c r="B22" s="19">
        <f t="shared" ref="B22:C22" si="21">H21</f>
        <v>512</v>
      </c>
      <c r="C22" s="19">
        <f t="shared" si="21"/>
        <v>14</v>
      </c>
      <c r="D22" s="18">
        <v>512.0</v>
      </c>
      <c r="E22" s="18">
        <v>3.0</v>
      </c>
      <c r="F22" s="18">
        <v>1.0</v>
      </c>
      <c r="G22" s="18">
        <v>1.0</v>
      </c>
      <c r="H22" s="13">
        <f>IFERROR(__xludf.DUMMYFUNCTION("IF(REGEXMATCH(A22,""conv""),D22, IF(REGEXMATCH(A22,""pool""),B22,IF(REGEXMATCH(A22,""flatten""),B22*C22*C22, IF(REGEXMATCH(A22,""fc""),D22))))"),512.0)</f>
        <v>512</v>
      </c>
      <c r="I22" s="13">
        <f t="shared" si="2"/>
        <v>14</v>
      </c>
      <c r="J22" s="13">
        <f t="shared" si="3"/>
        <v>392</v>
      </c>
      <c r="K22" s="13">
        <f>IFERROR(__xludf.DUMMYFUNCTION("IF(REGEXMATCH(A22,""conv""),H22*B22*E22*E22+H22 , IF(REGEXMATCH(A22,""pool""),0, IF(REGEXMATCH(A22,""fc""),H22*B22*E22*E22+H22,IF(REGEXMATCH(A22,""flatten""),0))))"),2359808.0)</f>
        <v>2359808</v>
      </c>
      <c r="L22" s="13"/>
    </row>
    <row r="23">
      <c r="A23" s="17" t="s">
        <v>66</v>
      </c>
      <c r="B23" s="19">
        <f t="shared" ref="B23:C23" si="22">H21</f>
        <v>512</v>
      </c>
      <c r="C23" s="19">
        <f t="shared" si="22"/>
        <v>14</v>
      </c>
      <c r="D23" s="18">
        <v>1.0</v>
      </c>
      <c r="E23" s="17">
        <v>2.0</v>
      </c>
      <c r="F23" s="17">
        <v>2.0</v>
      </c>
      <c r="G23" s="17">
        <v>0.0</v>
      </c>
      <c r="H23" s="13">
        <f>IFERROR(__xludf.DUMMYFUNCTION("IF(REGEXMATCH(A23,""conv""),D23, IF(REGEXMATCH(A23,""pool""),B23,IF(REGEXMATCH(A23,""flatten""),B23*C23*C23, IF(REGEXMATCH(A23,""fc""),D23))))"),512.0)</f>
        <v>512</v>
      </c>
      <c r="I23" s="13">
        <f t="shared" si="2"/>
        <v>7</v>
      </c>
      <c r="J23" s="13">
        <f t="shared" si="3"/>
        <v>98</v>
      </c>
      <c r="K23" s="13">
        <f>IFERROR(__xludf.DUMMYFUNCTION("IF(REGEXMATCH(A23,""conv""),H23*B23*E23*E23+H23 , IF(REGEXMATCH(A23,""pool""),0, IF(REGEXMATCH(A23,""fc""),H23*B23*E23*E23+H23,IF(REGEXMATCH(A23,""flatten""),0))))"),0.0)</f>
        <v>0</v>
      </c>
      <c r="L23" s="13"/>
    </row>
    <row r="24">
      <c r="A24" s="17" t="s">
        <v>49</v>
      </c>
      <c r="B24" s="19">
        <f t="shared" ref="B24:C24" si="23">H23</f>
        <v>512</v>
      </c>
      <c r="C24" s="19">
        <f t="shared" si="23"/>
        <v>7</v>
      </c>
      <c r="D24" s="18">
        <v>0.0</v>
      </c>
      <c r="E24" s="17">
        <v>0.0</v>
      </c>
      <c r="F24" s="17">
        <v>0.0</v>
      </c>
      <c r="G24" s="17">
        <v>0.0</v>
      </c>
      <c r="H24" s="13">
        <f>IFERROR(__xludf.DUMMYFUNCTION("IF(REGEXMATCH(A24,""conv""),D24, IF(REGEXMATCH(A24,""pool""),B24,IF(REGEXMATCH(A24,""flatten""),B24*C24*C24, IF(REGEXMATCH(A24,""fc""),D24))))"),25088.0)</f>
        <v>25088</v>
      </c>
      <c r="I24" s="17">
        <v>1.0</v>
      </c>
      <c r="J24" s="13">
        <f t="shared" si="3"/>
        <v>98</v>
      </c>
      <c r="K24" s="13">
        <f>IFERROR(__xludf.DUMMYFUNCTION("IF(REGEXMATCH(A24,""conv""),H24*B24*E24*E24+H24 , IF(REGEXMATCH(A24,""pool""),0, IF(REGEXMATCH(A24,""fc""),H24*B24*E24*E24+H24,IF(REGEXMATCH(A24,""flatten""),0))))"),0.0)</f>
        <v>0</v>
      </c>
      <c r="L24" s="13"/>
    </row>
    <row r="25">
      <c r="A25" s="17" t="s">
        <v>67</v>
      </c>
      <c r="B25" s="19">
        <f t="shared" ref="B25:C25" si="24">H24</f>
        <v>25088</v>
      </c>
      <c r="C25" s="19">
        <f t="shared" si="24"/>
        <v>1</v>
      </c>
      <c r="D25" s="17">
        <v>4096.0</v>
      </c>
      <c r="E25" s="17">
        <v>1.0</v>
      </c>
      <c r="F25" s="17">
        <v>1.0</v>
      </c>
      <c r="G25" s="17">
        <v>0.0</v>
      </c>
      <c r="H25" s="13">
        <f>IFERROR(__xludf.DUMMYFUNCTION("IF(REGEXMATCH(A25,""conv""),D25, IF(REGEXMATCH(A25,""pool""),B25,IF(REGEXMATCH(A25,""flatten""),B25*C25*C25, IF(REGEXMATCH(A25,""fc""),D25))))"),4096.0)</f>
        <v>4096</v>
      </c>
      <c r="I25" s="17">
        <v>1.0</v>
      </c>
      <c r="J25" s="13">
        <f t="shared" si="3"/>
        <v>16</v>
      </c>
      <c r="K25" s="13">
        <f>IFERROR(__xludf.DUMMYFUNCTION("IF(REGEXMATCH(A25,""conv""),H25*B25*E25*E25+H25 , IF(REGEXMATCH(A25,""pool""),0, IF(REGEXMATCH(A25,""fc""),H25*B25*E25*E25+H25,IF(REGEXMATCH(A25,""flatten""),0))))"),1.02764544E8)</f>
        <v>102764544</v>
      </c>
      <c r="L25" s="13"/>
    </row>
    <row r="26">
      <c r="A26" s="17" t="s">
        <v>68</v>
      </c>
      <c r="B26" s="19">
        <f t="shared" ref="B26:C26" si="25">H25</f>
        <v>4096</v>
      </c>
      <c r="C26" s="19">
        <f t="shared" si="25"/>
        <v>1</v>
      </c>
      <c r="D26" s="17">
        <v>4096.0</v>
      </c>
      <c r="E26" s="17">
        <v>1.0</v>
      </c>
      <c r="F26" s="17">
        <v>1.0</v>
      </c>
      <c r="G26" s="17">
        <v>0.0</v>
      </c>
      <c r="H26" s="13">
        <f>IFERROR(__xludf.DUMMYFUNCTION("IF(REGEXMATCH(A26,""conv""),D26, IF(REGEXMATCH(A26,""pool""),B26,IF(REGEXMATCH(A26,""flatten""),B26*C26*C26, IF(REGEXMATCH(A26,""fc""),D26))))"),4096.0)</f>
        <v>4096</v>
      </c>
      <c r="I26" s="17">
        <v>1.0</v>
      </c>
      <c r="J26" s="13">
        <f t="shared" si="3"/>
        <v>16</v>
      </c>
      <c r="K26" s="13">
        <f>IFERROR(__xludf.DUMMYFUNCTION("IF(REGEXMATCH(A26,""conv""),H26*B26*E26*E26+H26 , IF(REGEXMATCH(A26,""pool""),0, IF(REGEXMATCH(A26,""fc""),H26*B26*E26*E26+H26,IF(REGEXMATCH(A26,""flatten""),0))))"),1.6781312E7)</f>
        <v>16781312</v>
      </c>
      <c r="L26" s="13"/>
    </row>
    <row r="27">
      <c r="A27" s="17" t="s">
        <v>69</v>
      </c>
      <c r="B27" s="19">
        <f t="shared" ref="B27:C27" si="26">H26</f>
        <v>4096</v>
      </c>
      <c r="C27" s="19">
        <f t="shared" si="26"/>
        <v>1</v>
      </c>
      <c r="D27" s="17">
        <v>1000.0</v>
      </c>
      <c r="E27" s="17">
        <v>1.0</v>
      </c>
      <c r="F27" s="17">
        <v>1.0</v>
      </c>
      <c r="G27" s="17">
        <v>0.0</v>
      </c>
      <c r="H27" s="13">
        <f>IFERROR(__xludf.DUMMYFUNCTION("IF(REGEXMATCH(A27,""conv""),D27, IF(REGEXMATCH(A27,""pool""),B27,IF(REGEXMATCH(A27,""flatten""),B27*C27*C27, IF(REGEXMATCH(A27,""fc""),D27))))"),1000.0)</f>
        <v>1000</v>
      </c>
      <c r="I27" s="17">
        <v>1.0</v>
      </c>
      <c r="J27" s="13">
        <f t="shared" si="3"/>
        <v>4</v>
      </c>
      <c r="K27" s="13">
        <f>IFERROR(__xludf.DUMMYFUNCTION("IF(REGEXMATCH(A27,""conv""),H27*B27*E27*E27+H27 , IF(REGEXMATCH(A27,""pool""),0, IF(REGEXMATCH(A27,""fc""),H27*B27*E27*E27+H27,IF(REGEXMATCH(A27,""flatten""),0))))"),4097000.0)</f>
        <v>4097000</v>
      </c>
      <c r="L27" s="13"/>
    </row>
    <row r="28">
      <c r="J28" s="28">
        <f t="shared" ref="J28:K28" si="27">SUM(J3:J27)</f>
        <v>64128</v>
      </c>
      <c r="K28" s="28">
        <f t="shared" si="27"/>
        <v>143667240</v>
      </c>
    </row>
  </sheetData>
  <mergeCells count="3">
    <mergeCell ref="B1:C1"/>
    <mergeCell ref="D1:G1"/>
    <mergeCell ref="H1:I1"/>
  </mergeCells>
  <drawing r:id="rId1"/>
</worksheet>
</file>