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itbucket\wf_backend\public\"/>
    </mc:Choice>
  </mc:AlternateContent>
  <xr:revisionPtr revIDLastSave="0" documentId="13_ncr:9_{07C664C4-95B0-488F-AA62-98F941D920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definedNames>
    <definedName name="ABA_ACC_NO_E">"1990"</definedName>
    <definedName name="ACC_DC">"D"</definedName>
    <definedName name="AN_ACCNM">""</definedName>
    <definedName name="AN_ACCNO">""</definedName>
    <definedName name="AN_B_ACCB">"1000"</definedName>
    <definedName name="AN_B_ACCE">"1111"</definedName>
    <definedName name="AN_B_ACCNM">"其它調整(內部管制)"</definedName>
    <definedName name="AN_B_ACCNO">"ZZZZ06"</definedName>
    <definedName name="AN_B_ACCUP">""</definedName>
    <definedName name="AN_B_DC">"C"</definedName>
    <definedName name="BACC_NO">"1000"</definedName>
    <definedName name="Count_In_OnePage">1</definedName>
    <definedName name="CUST_NAME">"資產"</definedName>
    <definedName name="DM_B_DEP">"0000"</definedName>
    <definedName name="DM_B_ENG">"ENGLISH DEP_NAME"</definedName>
    <definedName name="DM_B_NAME">"?鼠侗"</definedName>
    <definedName name="DM_B_UP">"0000"</definedName>
    <definedName name="FAS_TABLE_BODY">"5;1;49;6;"</definedName>
    <definedName name="_xlnm.Print_Area">Default!$A$1:$B$353</definedName>
    <definedName name="ShowZeroValues">"TRUE"</definedName>
    <definedName name="SYS_NAME">"世霹股份有限公司"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</calcChain>
</file>

<file path=xl/sharedStrings.xml><?xml version="1.0" encoding="utf-8"?>
<sst xmlns="http://purl.oclc.org/ooxml/spreadsheetml/main" count="2" uniqueCount="2">
  <si>
    <t>CODE</t>
    <phoneticPr fontId="2" type="noConversion"/>
  </si>
  <si>
    <t>NAME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</si>
</sst>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冼极"/>
      <family val="3"/>
      <charset val="136"/>
    </font>
    <font>
      <sz val="12"/>
      <name val="新細明體"/>
      <family val="1"/>
      <charset val="136"/>
    </font>
    <font>
      <sz val="9"/>
      <name val="冼极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B2" sqref="B2"/>
    </sheetView>
  </sheetViews>
  <sheetFormatPr defaultColWidth="9.125" defaultRowHeight="14.25" customHeight="1"/>
  <cols>
    <col min="1" max="1" width="11.125" customWidth="1"/>
    <col min="2" max="2" width="40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tr">
        <f>BACC_NO</f>
        <v>1000</v>
      </c>
      <c r="B2" s="2" t="str">
        <f>CUST_NAME</f>
        <v>資產</v>
      </c>
    </row>
    <row r="3" spans="1:2" ht="14.25" customHeight="1">
      <c r="A3" s="2" t="str">
        <f>"1100"</f>
        <v>1100</v>
      </c>
      <c r="B3" s="2" t="str">
        <f>"流動資產"</f>
        <v>流動資產</v>
      </c>
    </row>
    <row r="4" spans="1:2" ht="14.25" customHeight="1">
      <c r="A4" s="2" t="str">
        <f>"1111"</f>
        <v>1111</v>
      </c>
      <c r="B4" s="2" t="str">
        <f>"現金"</f>
        <v>現金</v>
      </c>
    </row>
    <row r="5" spans="1:2" ht="14.25" customHeight="1">
      <c r="A5" s="2" t="str">
        <f>"1112"</f>
        <v>1112</v>
      </c>
      <c r="B5" s="2" t="str">
        <f>"銀行存款"</f>
        <v>銀行存款</v>
      </c>
    </row>
    <row r="6" spans="1:2" ht="14.25" customHeight="1">
      <c r="A6" s="2" t="str">
        <f>"111201"</f>
        <v>111201</v>
      </c>
      <c r="B6" s="2" t="str">
        <f>"銀行存款_富邦台幣"</f>
        <v>銀行存款_富邦台幣</v>
      </c>
    </row>
    <row r="7" spans="1:2" ht="14.25" customHeight="1">
      <c r="A7" s="2" t="str">
        <f>"111202"</f>
        <v>111202</v>
      </c>
      <c r="B7" s="2" t="str">
        <f>"銀行存款-中信台幣"</f>
        <v>銀行存款-中信台幣</v>
      </c>
    </row>
    <row r="8" spans="1:2" ht="14.25" customHeight="1">
      <c r="A8" s="2" t="str">
        <f>"111203"</f>
        <v>111203</v>
      </c>
      <c r="B8" s="2" t="str">
        <f>"銀行存款_富邦日幣"</f>
        <v>銀行存款_富邦日幣</v>
      </c>
    </row>
    <row r="9" spans="1:2" ht="14.25" customHeight="1">
      <c r="A9" s="2" t="str">
        <f>"1114"</f>
        <v>1114</v>
      </c>
      <c r="B9" s="2" t="str">
        <f>"短期投資"</f>
        <v>短期投資</v>
      </c>
    </row>
    <row r="10" spans="1:2" ht="14.25" customHeight="1">
      <c r="A10" s="2" t="str">
        <f>"1116"</f>
        <v>1116</v>
      </c>
      <c r="B10" s="2" t="str">
        <f>"避險性金融資產"</f>
        <v>避險性金融資產</v>
      </c>
    </row>
    <row r="11" spans="1:2" ht="14.25" customHeight="1">
      <c r="A11" s="2" t="str">
        <f>"1121"</f>
        <v>1121</v>
      </c>
      <c r="B11" s="2" t="str">
        <f>"應收票據"</f>
        <v>應收票據</v>
      </c>
    </row>
    <row r="12" spans="1:2" ht="14.25" customHeight="1">
      <c r="A12" s="2" t="str">
        <f>"1122"</f>
        <v>1122</v>
      </c>
      <c r="B12" s="2" t="str">
        <f>"減：備抵呆帳"</f>
        <v>減：備抵呆帳</v>
      </c>
    </row>
    <row r="13" spans="1:2" ht="14.25" customHeight="1">
      <c r="A13" s="2" t="str">
        <f>"1123"</f>
        <v>1123</v>
      </c>
      <c r="B13" s="2" t="str">
        <f>"應收帳款"</f>
        <v>應收帳款</v>
      </c>
    </row>
    <row r="14" spans="1:2" ht="14.25" customHeight="1">
      <c r="A14" s="2" t="str">
        <f>"1124"</f>
        <v>1124</v>
      </c>
      <c r="B14" s="2" t="str">
        <f>"減：備抵呆帳"</f>
        <v>減：備抵呆帳</v>
      </c>
    </row>
    <row r="15" spans="1:2" ht="14.25" customHeight="1">
      <c r="A15" s="2" t="str">
        <f>"1125"</f>
        <v>1125</v>
      </c>
      <c r="B15" s="2" t="str">
        <f>"應收保管品"</f>
        <v>應收保管品</v>
      </c>
    </row>
    <row r="16" spans="1:2" ht="14.25" customHeight="1">
      <c r="A16" s="2" t="str">
        <f>"1126"</f>
        <v>1126</v>
      </c>
      <c r="B16" s="2" t="str">
        <f>"貼現應收票據"</f>
        <v>貼現應收票據</v>
      </c>
    </row>
    <row r="17" spans="1:2" ht="14.25" customHeight="1">
      <c r="A17" s="2" t="str">
        <f>"1127"</f>
        <v>1127</v>
      </c>
      <c r="B17" s="2" t="str">
        <f>"應收票據託收"</f>
        <v>應收票據託收</v>
      </c>
    </row>
    <row r="18" spans="1:2" ht="14.25" customHeight="1">
      <c r="A18" s="2" t="str">
        <f>"1129"</f>
        <v>1129</v>
      </c>
      <c r="B18" s="2" t="str">
        <f>"其他應收款"</f>
        <v>其他應收款</v>
      </c>
    </row>
    <row r="19" spans="1:2" ht="14.25" customHeight="1">
      <c r="A19" s="2" t="str">
        <f>"1130"</f>
        <v>1130</v>
      </c>
      <c r="B19" s="2" t="str">
        <f>"存  貨"</f>
        <v>存  貨</v>
      </c>
    </row>
    <row r="20" spans="1:2" ht="14.25" customHeight="1">
      <c r="A20" s="2" t="str">
        <f>"1131"</f>
        <v>1131</v>
      </c>
      <c r="B20" s="2" t="str">
        <f>"商  品"</f>
        <v>商  品</v>
      </c>
    </row>
    <row r="21" spans="1:2" ht="14.25" customHeight="1">
      <c r="A21" s="2" t="str">
        <f>"1132"</f>
        <v>1132</v>
      </c>
      <c r="B21" s="2" t="str">
        <f>"製  成  品"</f>
        <v>製  成  品</v>
      </c>
    </row>
    <row r="22" spans="1:2" ht="14.25" customHeight="1">
      <c r="A22" s="2" t="str">
        <f>"1133"</f>
        <v>1133</v>
      </c>
      <c r="B22" s="2" t="str">
        <f>"在  製  品"</f>
        <v>在  製  品</v>
      </c>
    </row>
    <row r="23" spans="1:2" ht="14.25" customHeight="1">
      <c r="A23" s="2" t="str">
        <f>"1134"</f>
        <v>1134</v>
      </c>
      <c r="B23" s="2" t="str">
        <f>"原  料"</f>
        <v>原  料</v>
      </c>
    </row>
    <row r="24" spans="1:2" ht="14.25" customHeight="1">
      <c r="A24" s="2" t="str">
        <f>"1135"</f>
        <v>1135</v>
      </c>
      <c r="B24" s="2" t="str">
        <f>"物  料"</f>
        <v>物  料</v>
      </c>
    </row>
    <row r="25" spans="1:2" ht="14.25" customHeight="1">
      <c r="A25" s="2" t="str">
        <f>"1136"</f>
        <v>1136</v>
      </c>
      <c r="B25" s="2" t="str">
        <f>"寄  銷  品"</f>
        <v>寄  銷  品</v>
      </c>
    </row>
    <row r="26" spans="1:2" ht="14.25" customHeight="1">
      <c r="A26" s="2" t="str">
        <f>"1137"</f>
        <v>1137</v>
      </c>
      <c r="B26" s="2" t="str">
        <f>"減: 存貨跌價損失準備"</f>
        <v>減: 存貨跌價損失準備</v>
      </c>
    </row>
    <row r="27" spans="1:2" ht="14.25" customHeight="1">
      <c r="A27" s="2" t="str">
        <f>"1138"</f>
        <v>1138</v>
      </c>
      <c r="B27" s="2" t="str">
        <f>"其  他"</f>
        <v>其  他</v>
      </c>
    </row>
    <row r="28" spans="1:2" ht="14.25" customHeight="1">
      <c r="A28" s="2" t="str">
        <f>"1138A"</f>
        <v>1138A</v>
      </c>
      <c r="B28" s="2" t="str">
        <f>"下腳品"</f>
        <v>下腳品</v>
      </c>
    </row>
    <row r="29" spans="1:2" ht="14.25" customHeight="1">
      <c r="A29" s="2" t="str">
        <f>"1140"</f>
        <v>1140</v>
      </c>
      <c r="B29" s="2" t="str">
        <f>"預付款項"</f>
        <v>預付款項</v>
      </c>
    </row>
    <row r="30" spans="1:2" ht="14.25" customHeight="1">
      <c r="A30" s="2" t="str">
        <f>"1141"</f>
        <v>1141</v>
      </c>
      <c r="B30" s="2" t="str">
        <f>"預付費用"</f>
        <v>預付費用</v>
      </c>
    </row>
    <row r="31" spans="1:2" ht="14.25" customHeight="1">
      <c r="A31" s="2" t="str">
        <f>"1142"</f>
        <v>1142</v>
      </c>
      <c r="B31" s="2" t="str">
        <f>"用品盤存"</f>
        <v>用品盤存</v>
      </c>
    </row>
    <row r="32" spans="1:2" ht="14.25" customHeight="1">
      <c r="A32" s="2" t="str">
        <f>"1143"</f>
        <v>1143</v>
      </c>
      <c r="B32" s="2" t="str">
        <f>"預付貨款"</f>
        <v>預付貨款</v>
      </c>
    </row>
    <row r="33" spans="1:2" ht="14.25" customHeight="1">
      <c r="A33" s="2" t="str">
        <f>"1149"</f>
        <v>1149</v>
      </c>
      <c r="B33" s="2" t="str">
        <f>"其他預付款"</f>
        <v>其他預付款</v>
      </c>
    </row>
    <row r="34" spans="1:2" ht="14.25" customHeight="1">
      <c r="A34" s="2" t="str">
        <f>"1151"</f>
        <v>1151</v>
      </c>
      <c r="B34" s="2" t="str">
        <f>"公平價值變動列入損益之金融資產－流動"</f>
        <v>公平價值變動列入損益之金融資產－流動</v>
      </c>
    </row>
    <row r="35" spans="1:2" ht="14.25" customHeight="1">
      <c r="A35" s="2" t="str">
        <f>"1152"</f>
        <v>1152</v>
      </c>
      <c r="B35" s="2" t="str">
        <f>"備供出售金融資產－流動"</f>
        <v>備供出售金融資產－流動</v>
      </c>
    </row>
    <row r="36" spans="1:2" ht="14.25" customHeight="1">
      <c r="A36" s="2" t="str">
        <f>"1153"</f>
        <v>1153</v>
      </c>
      <c r="B36" s="2" t="str">
        <f>"持有至到期日金融資產－流動"</f>
        <v>持有至到期日金融資產－流動</v>
      </c>
    </row>
    <row r="37" spans="1:2" ht="14.25" customHeight="1">
      <c r="A37" s="2" t="str">
        <f>"1154"</f>
        <v>1154</v>
      </c>
      <c r="B37" s="2" t="str">
        <f>"避險之衍生性金融資產－流動"</f>
        <v>避險之衍生性金融資產－流動</v>
      </c>
    </row>
    <row r="38" spans="1:2" ht="14.25" customHeight="1">
      <c r="A38" s="2" t="str">
        <f>"1155"</f>
        <v>1155</v>
      </c>
      <c r="B38" s="2" t="str">
        <f>"以成本衡量之金融資產－流動"</f>
        <v>以成本衡量之金融資產－流動</v>
      </c>
    </row>
    <row r="39" spans="1:2" ht="14.25" customHeight="1">
      <c r="A39" s="2" t="str">
        <f>"1156"</f>
        <v>1156</v>
      </c>
      <c r="B39" s="2" t="str">
        <f>"無活絡市場之債券投資－流動"</f>
        <v>無活絡市場之債券投資－流動</v>
      </c>
    </row>
    <row r="40" spans="1:2" ht="14.25" customHeight="1">
      <c r="A40" s="2" t="str">
        <f>"1157"</f>
        <v>1157</v>
      </c>
      <c r="B40" s="2" t="str">
        <f>"其他金融資產－流動"</f>
        <v>其他金融資產－流動</v>
      </c>
    </row>
    <row r="41" spans="1:2" ht="14.25" customHeight="1">
      <c r="A41" s="2" t="str">
        <f>"1159"</f>
        <v>1159</v>
      </c>
      <c r="B41" s="2" t="str">
        <f>"減：累計減損"</f>
        <v>減：累計減損</v>
      </c>
    </row>
    <row r="42" spans="1:2" ht="14.25" customHeight="1">
      <c r="A42" s="2" t="str">
        <f>"1190"</f>
        <v>1190</v>
      </c>
      <c r="B42" s="2" t="str">
        <f>"其他流動資產"</f>
        <v>其他流動資產</v>
      </c>
    </row>
    <row r="43" spans="1:2" ht="14.25" customHeight="1">
      <c r="A43" s="2" t="str">
        <f>"1191"</f>
        <v>1191</v>
      </c>
      <c r="B43" s="2" t="str">
        <f>"暫付款"</f>
        <v>暫付款</v>
      </c>
    </row>
    <row r="44" spans="1:2" ht="14.25" customHeight="1">
      <c r="A44" s="2" t="str">
        <f>"1192"</f>
        <v>1192</v>
      </c>
      <c r="B44" s="2" t="str">
        <f>"股東[業主]往來"</f>
        <v>股東[業主]往來</v>
      </c>
    </row>
    <row r="45" spans="1:2" ht="14.25" customHeight="1">
      <c r="A45" s="2" t="str">
        <f>"119201"</f>
        <v>119201</v>
      </c>
      <c r="B45" s="2" t="str">
        <f>"股東[業主]往來_其他"</f>
        <v>股東[業主]往來_其他</v>
      </c>
    </row>
    <row r="46" spans="1:2" ht="14.25" customHeight="1">
      <c r="A46" s="2" t="str">
        <f>"1193"</f>
        <v>1193</v>
      </c>
      <c r="B46" s="2" t="str">
        <f>"同業往來"</f>
        <v>同業往來</v>
      </c>
    </row>
    <row r="47" spans="1:2" ht="14.25" customHeight="1">
      <c r="A47" s="2" t="str">
        <f>"1194"</f>
        <v>1194</v>
      </c>
      <c r="B47" s="2" t="str">
        <f>"進項稅額"</f>
        <v>進項稅額</v>
      </c>
    </row>
    <row r="48" spans="1:2" ht="14.25" customHeight="1">
      <c r="A48" s="2" t="str">
        <f>"1195"</f>
        <v>1195</v>
      </c>
      <c r="B48" s="2" t="str">
        <f>"留抵稅額"</f>
        <v>留抵稅額</v>
      </c>
    </row>
    <row r="49" spans="1:2" ht="14.25" customHeight="1">
      <c r="A49" s="2" t="str">
        <f>"1199"</f>
        <v>1199</v>
      </c>
      <c r="B49" s="2" t="str">
        <f>"其    他"</f>
        <v>其    他</v>
      </c>
    </row>
    <row r="50" spans="1:2" ht="14.25" customHeight="1">
      <c r="A50" s="2" t="str">
        <f>"1199A"</f>
        <v>1199A</v>
      </c>
      <c r="B50" s="2" t="str">
        <f>"留抵稅額"</f>
        <v>留抵稅額</v>
      </c>
    </row>
    <row r="51" spans="1:2" ht="14.25" customHeight="1">
      <c r="A51" s="2" t="str">
        <f>"1199B"</f>
        <v>1199B</v>
      </c>
      <c r="B51" s="2" t="str">
        <f>"應退稅額"</f>
        <v>應退稅額</v>
      </c>
    </row>
    <row r="52" spans="1:2" ht="14.25" customHeight="1">
      <c r="A52" s="2" t="str">
        <f>"1200"</f>
        <v>1200</v>
      </c>
      <c r="B52" s="2" t="str">
        <f>"基    金"</f>
        <v>基    金</v>
      </c>
    </row>
    <row r="53" spans="1:2" ht="14.25" customHeight="1">
      <c r="A53" s="2" t="str">
        <f>"1200A"</f>
        <v>1200A</v>
      </c>
      <c r="B53" s="2" t="str">
        <f>"基金　"</f>
        <v>基金　</v>
      </c>
    </row>
    <row r="54" spans="1:2" ht="14.25" customHeight="1">
      <c r="A54" s="2" t="str">
        <f>"1200B"</f>
        <v>1200B</v>
      </c>
      <c r="B54" s="2" t="str">
        <f>"勞工退休準備金"</f>
        <v>勞工退休準備金</v>
      </c>
    </row>
    <row r="55" spans="1:2" ht="14.25" customHeight="1">
      <c r="A55" s="2" t="str">
        <f>"1200C"</f>
        <v>1200C</v>
      </c>
      <c r="B55" s="2" t="str">
        <f>"償債基金"</f>
        <v>償債基金</v>
      </c>
    </row>
    <row r="56" spans="1:2" ht="14.25" customHeight="1">
      <c r="A56" s="2" t="str">
        <f>"1200D"</f>
        <v>1200D</v>
      </c>
      <c r="B56" s="2" t="str">
        <f>"職工福利基金"</f>
        <v>職工福利基金</v>
      </c>
    </row>
    <row r="57" spans="1:2" ht="14.25" customHeight="1">
      <c r="A57" s="2" t="str">
        <f>"1200E"</f>
        <v>1200E</v>
      </c>
      <c r="B57" s="2" t="str">
        <f>"改良及擴充基金"</f>
        <v>改良及擴充基金</v>
      </c>
    </row>
    <row r="58" spans="1:2" ht="14.25" customHeight="1">
      <c r="A58" s="2" t="str">
        <f>"1200F"</f>
        <v>1200F</v>
      </c>
      <c r="B58" s="2" t="str">
        <f>"退休基金"</f>
        <v>退休基金</v>
      </c>
    </row>
    <row r="59" spans="1:2" ht="14.25" customHeight="1">
      <c r="A59" s="2" t="str">
        <f>"1200G"</f>
        <v>1200G</v>
      </c>
      <c r="B59" s="2" t="str">
        <f>"其他基金"</f>
        <v>其他基金</v>
      </c>
    </row>
    <row r="60" spans="1:2" ht="14.25" customHeight="1">
      <c r="A60" s="2" t="str">
        <f>"1300"</f>
        <v>1300</v>
      </c>
      <c r="B60" s="2" t="str">
        <f>"長期投資"</f>
        <v>長期投資</v>
      </c>
    </row>
    <row r="61" spans="1:2" ht="14.25" customHeight="1">
      <c r="A61" s="2" t="str">
        <f>"1300A"</f>
        <v>1300A</v>
      </c>
      <c r="B61" s="2" t="str">
        <f>"長期投資_"</f>
        <v>長期投資_</v>
      </c>
    </row>
    <row r="62" spans="1:2" ht="14.25" customHeight="1">
      <c r="A62" s="2" t="str">
        <f>"1300B"</f>
        <v>1300B</v>
      </c>
      <c r="B62" s="2" t="str">
        <f>"備抵長期投資"</f>
        <v>備抵長期投資</v>
      </c>
    </row>
    <row r="63" spans="1:2" ht="14.25" customHeight="1">
      <c r="A63" s="2" t="str">
        <f>"1300C"</f>
        <v>1300C</v>
      </c>
      <c r="B63" s="2" t="str">
        <f>"長期價權投資"</f>
        <v>長期價權投資</v>
      </c>
    </row>
    <row r="64" spans="1:2" ht="14.25" customHeight="1">
      <c r="A64" s="2" t="str">
        <f>"1302"</f>
        <v>1302</v>
      </c>
      <c r="B64" s="2" t="str">
        <f>"減:累計減損"</f>
        <v>減:累計減損</v>
      </c>
    </row>
    <row r="65" spans="1:2" ht="14.25" customHeight="1">
      <c r="A65" s="2" t="str">
        <f>"1312"</f>
        <v>1312</v>
      </c>
      <c r="B65" s="2" t="str">
        <f>"公平價值變動列入損益之金融資產－非流動"</f>
        <v>公平價值變動列入損益之金融資產－非流動</v>
      </c>
    </row>
    <row r="66" spans="1:2" ht="14.25" customHeight="1">
      <c r="A66" s="2" t="str">
        <f>"1313"</f>
        <v>1313</v>
      </c>
      <c r="B66" s="2" t="str">
        <f>"備供出售金融資產－非流動"</f>
        <v>備供出售金融資產－非流動</v>
      </c>
    </row>
    <row r="67" spans="1:2" ht="14.25" customHeight="1">
      <c r="A67" s="2" t="str">
        <f>"1314"</f>
        <v>1314</v>
      </c>
      <c r="B67" s="2" t="str">
        <f>"持有至到期日金融資產－非流動"</f>
        <v>持有至到期日金融資產－非流動</v>
      </c>
    </row>
    <row r="68" spans="1:2" ht="14.25" customHeight="1">
      <c r="A68" s="2" t="str">
        <f>"1315"</f>
        <v>1315</v>
      </c>
      <c r="B68" s="2" t="str">
        <f>"避險之衍生性金融資產－非流動"</f>
        <v>避險之衍生性金融資產－非流動</v>
      </c>
    </row>
    <row r="69" spans="1:2" ht="14.25" customHeight="1">
      <c r="A69" s="2" t="str">
        <f>"1316"</f>
        <v>1316</v>
      </c>
      <c r="B69" s="2" t="str">
        <f>"以成本衡量之金融資產－非流動"</f>
        <v>以成本衡量之金融資產－非流動</v>
      </c>
    </row>
    <row r="70" spans="1:2" ht="14.25" customHeight="1">
      <c r="A70" s="2" t="str">
        <f>"1317"</f>
        <v>1317</v>
      </c>
      <c r="B70" s="2" t="str">
        <f>"無活絡市場之債券投資－非流動"</f>
        <v>無活絡市場之債券投資－非流動</v>
      </c>
    </row>
    <row r="71" spans="1:2" ht="14.25" customHeight="1">
      <c r="A71" s="2" t="str">
        <f>"1318"</f>
        <v>1318</v>
      </c>
      <c r="B71" s="2" t="str">
        <f>"其他金融資產－非流動"</f>
        <v>其他金融資產－非流動</v>
      </c>
    </row>
    <row r="72" spans="1:2" ht="14.25" customHeight="1">
      <c r="A72" s="2" t="str">
        <f>"1319"</f>
        <v>1319</v>
      </c>
      <c r="B72" s="2" t="str">
        <f>"採權益法之長期股權投資"</f>
        <v>採權益法之長期股權投資</v>
      </c>
    </row>
    <row r="73" spans="1:2" ht="14.25" customHeight="1">
      <c r="A73" s="2" t="str">
        <f>"1320"</f>
        <v>1320</v>
      </c>
      <c r="B73" s="2" t="str">
        <f>"減：累計減損"</f>
        <v>減：累計減損</v>
      </c>
    </row>
    <row r="74" spans="1:2" ht="14.25" customHeight="1">
      <c r="A74" s="2" t="str">
        <f>"1400"</f>
        <v>1400</v>
      </c>
      <c r="B74" s="2" t="str">
        <f>"固定資產"</f>
        <v>固定資產</v>
      </c>
    </row>
    <row r="75" spans="1:2" ht="14.25" customHeight="1">
      <c r="A75" s="2" t="str">
        <f>"1410"</f>
        <v>1410</v>
      </c>
      <c r="B75" s="2" t="str">
        <f>"土  地"</f>
        <v>土  地</v>
      </c>
    </row>
    <row r="76" spans="1:2" ht="14.25" customHeight="1">
      <c r="A76" s="2" t="str">
        <f>"1421"</f>
        <v>1421</v>
      </c>
      <c r="B76" s="2" t="str">
        <f>"礦  源"</f>
        <v>礦  源</v>
      </c>
    </row>
    <row r="77" spans="1:2" ht="14.25" customHeight="1">
      <c r="A77" s="2" t="str">
        <f>"1422"</f>
        <v>1422</v>
      </c>
      <c r="B77" s="2" t="str">
        <f>"減：累計耗竭"</f>
        <v>減：累計耗竭</v>
      </c>
    </row>
    <row r="78" spans="1:2" ht="14.25" customHeight="1">
      <c r="A78" s="2" t="str">
        <f>"1431"</f>
        <v>1431</v>
      </c>
      <c r="B78" s="2" t="str">
        <f>"房屋及建築"</f>
        <v>房屋及建築</v>
      </c>
    </row>
    <row r="79" spans="1:2" ht="14.25" customHeight="1">
      <c r="A79" s="2" t="str">
        <f>"1432"</f>
        <v>1432</v>
      </c>
      <c r="B79" s="2" t="str">
        <f>"減：累計折舊(房屋)"</f>
        <v>減：累計折舊(房屋)</v>
      </c>
    </row>
    <row r="80" spans="1:2" ht="14.25" customHeight="1">
      <c r="A80" s="2" t="str">
        <f>"1441"</f>
        <v>1441</v>
      </c>
      <c r="B80" s="2" t="str">
        <f>"機械設備"</f>
        <v>機械設備</v>
      </c>
    </row>
    <row r="81" spans="1:2" ht="14.25" customHeight="1">
      <c r="A81" s="2" t="str">
        <f>"1442"</f>
        <v>1442</v>
      </c>
      <c r="B81" s="2" t="str">
        <f>"減：累計折舊(機械)"</f>
        <v>減：累計折舊(機械)</v>
      </c>
    </row>
    <row r="82" spans="1:2" ht="14.25" customHeight="1">
      <c r="A82" s="2" t="str">
        <f>"1451"</f>
        <v>1451</v>
      </c>
      <c r="B82" s="2" t="str">
        <f>"運輸設備"</f>
        <v>運輸設備</v>
      </c>
    </row>
    <row r="83" spans="1:2" ht="14.25" customHeight="1">
      <c r="A83" s="2" t="str">
        <f>"1452"</f>
        <v>1452</v>
      </c>
      <c r="B83" s="2" t="str">
        <f>"減：累計折舊(運輸)"</f>
        <v>減：累計折舊(運輸)</v>
      </c>
    </row>
    <row r="84" spans="1:2" ht="14.25" customHeight="1">
      <c r="A84" s="2" t="str">
        <f>"1461"</f>
        <v>1461</v>
      </c>
      <c r="B84" s="2" t="str">
        <f>"生財器具"</f>
        <v>生財器具</v>
      </c>
    </row>
    <row r="85" spans="1:2" ht="14.25" customHeight="1">
      <c r="A85" s="2" t="str">
        <f>"1462"</f>
        <v>1462</v>
      </c>
      <c r="B85" s="2" t="str">
        <f>"減：累計折舊(生財)"</f>
        <v>減：累計折舊(生財)</v>
      </c>
    </row>
    <row r="86" spans="1:2" ht="14.25" customHeight="1">
      <c r="A86" s="2" t="str">
        <f>"1470"</f>
        <v>1470</v>
      </c>
      <c r="B86" s="2" t="str">
        <f>"未完工程(不含營造業)"</f>
        <v>未完工程(不含營造業)</v>
      </c>
    </row>
    <row r="87" spans="1:2" ht="14.25" customHeight="1">
      <c r="A87" s="2" t="str">
        <f>"1480"</f>
        <v>1480</v>
      </c>
      <c r="B87" s="2" t="str">
        <f>"預付購置設備款"</f>
        <v>預付購置設備款</v>
      </c>
    </row>
    <row r="88" spans="1:2" ht="14.25" customHeight="1">
      <c r="A88" s="2" t="str">
        <f>"1491"</f>
        <v>1491</v>
      </c>
      <c r="B88" s="2" t="str">
        <f>"其他固定資產"</f>
        <v>其他固定資產</v>
      </c>
    </row>
    <row r="89" spans="1:2" ht="14.25" customHeight="1">
      <c r="A89" s="2" t="str">
        <f>"1492"</f>
        <v>1492</v>
      </c>
      <c r="B89" s="2" t="str">
        <f>"減：累計折舊(其他)"</f>
        <v>減：累計折舊(其他)</v>
      </c>
    </row>
    <row r="90" spans="1:2" ht="14.25" customHeight="1">
      <c r="A90" s="2" t="str">
        <f>"1493"</f>
        <v>1493</v>
      </c>
      <c r="B90" s="2" t="str">
        <f>"減：累計減損"</f>
        <v>減：累計減損</v>
      </c>
    </row>
    <row r="91" spans="1:2" ht="14.25" customHeight="1">
      <c r="A91" s="2" t="str">
        <f>"1500"</f>
        <v>1500</v>
      </c>
      <c r="B91" s="2" t="str">
        <f>"無形資產"</f>
        <v>無形資產</v>
      </c>
    </row>
    <row r="92" spans="1:2" ht="14.25" customHeight="1">
      <c r="A92" s="2" t="str">
        <f>"1510A"</f>
        <v>1510A</v>
      </c>
      <c r="B92" s="2" t="str">
        <f>"商標權"</f>
        <v>商標權</v>
      </c>
    </row>
    <row r="93" spans="1:2" ht="14.25" customHeight="1">
      <c r="A93" s="2" t="str">
        <f>"1510B"</f>
        <v>1510B</v>
      </c>
      <c r="B93" s="2" t="str">
        <f>"專利權"</f>
        <v>專利權</v>
      </c>
    </row>
    <row r="94" spans="1:2" ht="14.25" customHeight="1">
      <c r="A94" s="2" t="str">
        <f>"1510C"</f>
        <v>1510C</v>
      </c>
      <c r="B94" s="2" t="str">
        <f>"特許權"</f>
        <v>特許權</v>
      </c>
    </row>
    <row r="95" spans="1:2" ht="14.25" customHeight="1">
      <c r="A95" s="2" t="str">
        <f>"1510D"</f>
        <v>1510D</v>
      </c>
      <c r="B95" s="2" t="str">
        <f>"著作權"</f>
        <v>著作權</v>
      </c>
    </row>
    <row r="96" spans="1:2" ht="14.25" customHeight="1">
      <c r="A96" s="2" t="str">
        <f>"1510E"</f>
        <v>1510E</v>
      </c>
      <c r="B96" s="2" t="str">
        <f>"商譽"</f>
        <v>商譽</v>
      </c>
    </row>
    <row r="97" spans="1:2" ht="14.25" customHeight="1">
      <c r="A97" s="2" t="str">
        <f>"1520"</f>
        <v>1520</v>
      </c>
      <c r="B97" s="2" t="str">
        <f>"減：累計攤折"</f>
        <v>減：累計攤折</v>
      </c>
    </row>
    <row r="98" spans="1:2" ht="14.25" customHeight="1">
      <c r="A98" s="2" t="str">
        <f>"1530"</f>
        <v>1530</v>
      </c>
      <c r="B98" s="2" t="str">
        <f>"減：累計減損"</f>
        <v>減：累計減損</v>
      </c>
    </row>
    <row r="99" spans="1:2" ht="14.25" customHeight="1">
      <c r="A99" s="2" t="str">
        <f>"1900"</f>
        <v>1900</v>
      </c>
      <c r="B99" s="2" t="str">
        <f>"其他資產"</f>
        <v>其他資產</v>
      </c>
    </row>
    <row r="100" spans="1:2" ht="14.25" customHeight="1">
      <c r="A100" s="2" t="str">
        <f>"1910"</f>
        <v>1910</v>
      </c>
      <c r="B100" s="2" t="str">
        <f>"存出保證金"</f>
        <v>存出保證金</v>
      </c>
    </row>
    <row r="101" spans="1:2" ht="14.25" customHeight="1">
      <c r="A101" s="2" t="str">
        <f>"1920"</f>
        <v>1920</v>
      </c>
      <c r="B101" s="2" t="str">
        <f>"開辦費"</f>
        <v>開辦費</v>
      </c>
    </row>
    <row r="102" spans="1:2" ht="14.25" customHeight="1">
      <c r="A102" s="2" t="str">
        <f>"1940"</f>
        <v>1940</v>
      </c>
      <c r="B102" s="2" t="str">
        <f>"未攤銷費用"</f>
        <v>未攤銷費用</v>
      </c>
    </row>
    <row r="103" spans="1:2" ht="14.25" customHeight="1">
      <c r="A103" s="2" t="str">
        <f>"1990"</f>
        <v>1990</v>
      </c>
      <c r="B103" s="2" t="str">
        <f>"其  他"</f>
        <v>其  他</v>
      </c>
    </row>
    <row r="104" spans="1:2" ht="14.25" customHeight="1">
      <c r="A104" s="2" t="str">
        <f>"2000"</f>
        <v>2000</v>
      </c>
      <c r="B104" s="2" t="str">
        <f>"負債"</f>
        <v>負債</v>
      </c>
    </row>
    <row r="105" spans="1:2" ht="14.25" customHeight="1">
      <c r="A105" s="2" t="str">
        <f>"2100"</f>
        <v>2100</v>
      </c>
      <c r="B105" s="2" t="str">
        <f>"流動負債"</f>
        <v>流動負債</v>
      </c>
    </row>
    <row r="106" spans="1:2" ht="14.25" customHeight="1">
      <c r="A106" s="2" t="str">
        <f>"2110"</f>
        <v>2110</v>
      </c>
      <c r="B106" s="2" t="str">
        <f>"短期借款"</f>
        <v>短期借款</v>
      </c>
    </row>
    <row r="107" spans="1:2" ht="14.25" customHeight="1">
      <c r="A107" s="2" t="str">
        <f>"2111"</f>
        <v>2111</v>
      </c>
      <c r="B107" s="2" t="str">
        <f>"銀行透支"</f>
        <v>銀行透支</v>
      </c>
    </row>
    <row r="108" spans="1:2" ht="14.25" customHeight="1">
      <c r="A108" s="2" t="str">
        <f>"2112"</f>
        <v>2112</v>
      </c>
      <c r="B108" s="2" t="str">
        <f>"銀行借款"</f>
        <v>銀行借款</v>
      </c>
    </row>
    <row r="109" spans="1:2" ht="14.25" customHeight="1">
      <c r="A109" s="2" t="str">
        <f>"2113"</f>
        <v>2113</v>
      </c>
      <c r="B109" s="2" t="str">
        <f>"應付商業本票"</f>
        <v>應付商業本票</v>
      </c>
    </row>
    <row r="110" spans="1:2" ht="14.25" customHeight="1">
      <c r="A110" s="2" t="str">
        <f>"2119"</f>
        <v>2119</v>
      </c>
      <c r="B110" s="2" t="str">
        <f>"其他短期借款"</f>
        <v>其他短期借款</v>
      </c>
    </row>
    <row r="111" spans="1:2" ht="14.25" customHeight="1">
      <c r="A111" s="2" t="str">
        <f>"2120"</f>
        <v>2120</v>
      </c>
      <c r="B111" s="2" t="str">
        <f>"應付款項"</f>
        <v>應付款項</v>
      </c>
    </row>
    <row r="112" spans="1:2" ht="14.25" customHeight="1">
      <c r="A112" s="2" t="str">
        <f>"2121"</f>
        <v>2121</v>
      </c>
      <c r="B112" s="2" t="str">
        <f>"應付票據"</f>
        <v>應付票據</v>
      </c>
    </row>
    <row r="113" spans="1:2" ht="14.25" customHeight="1">
      <c r="A113" s="2" t="str">
        <f>"2122"</f>
        <v>2122</v>
      </c>
      <c r="B113" s="2" t="str">
        <f>"應付帳款"</f>
        <v>應付帳款</v>
      </c>
    </row>
    <row r="114" spans="1:2" ht="14.25" customHeight="1">
      <c r="A114" s="2" t="str">
        <f>"2123"</f>
        <v>2123</v>
      </c>
      <c r="B114" s="2" t="str">
        <f>"應付費用"</f>
        <v>應付費用</v>
      </c>
    </row>
    <row r="115" spans="1:2" ht="14.25" customHeight="1">
      <c r="A115" s="2" t="str">
        <f>"212301"</f>
        <v>212301</v>
      </c>
      <c r="B115" s="2" t="str">
        <f>"應付薪資"</f>
        <v>應付薪資</v>
      </c>
    </row>
    <row r="116" spans="1:2" ht="14.25" customHeight="1">
      <c r="A116" s="2" t="str">
        <f>"212302"</f>
        <v>212302</v>
      </c>
      <c r="B116" s="2" t="str">
        <f>"應付租金支出"</f>
        <v>應付租金支出</v>
      </c>
    </row>
    <row r="117" spans="1:2" ht="14.25" customHeight="1">
      <c r="A117" s="2" t="str">
        <f>"212303"</f>
        <v>212303</v>
      </c>
      <c r="B117" s="2" t="str">
        <f>"應付郵電費"</f>
        <v>應付郵電費</v>
      </c>
    </row>
    <row r="118" spans="1:2" ht="14.25" customHeight="1">
      <c r="A118" s="2" t="str">
        <f>"212304"</f>
        <v>212304</v>
      </c>
      <c r="B118" s="2" t="str">
        <f>"應付水電費"</f>
        <v>應付水電費</v>
      </c>
    </row>
    <row r="119" spans="1:2" ht="14.25" customHeight="1">
      <c r="A119" s="2" t="str">
        <f>"212305"</f>
        <v>212305</v>
      </c>
      <c r="B119" s="2" t="str">
        <f>"應付保險費"</f>
        <v>應付保險費</v>
      </c>
    </row>
    <row r="120" spans="1:2" ht="14.25" customHeight="1">
      <c r="A120" s="2" t="str">
        <f>"212306"</f>
        <v>212306</v>
      </c>
      <c r="B120" s="2" t="str">
        <f>"應付勞保費"</f>
        <v>應付勞保費</v>
      </c>
    </row>
    <row r="121" spans="1:2" ht="14.25" customHeight="1">
      <c r="A121" s="2" t="str">
        <f>"212307"</f>
        <v>212307</v>
      </c>
      <c r="B121" s="2" t="str">
        <f>"應付費用"</f>
        <v>應付費用</v>
      </c>
    </row>
    <row r="122" spans="1:2" ht="14.25" customHeight="1">
      <c r="A122" s="2" t="str">
        <f>"2124"</f>
        <v>2124</v>
      </c>
      <c r="B122" s="2" t="str">
        <f>"應納稅捐"</f>
        <v>應納稅捐</v>
      </c>
    </row>
    <row r="123" spans="1:2" ht="14.25" customHeight="1">
      <c r="A123" s="2" t="str">
        <f>"2125"</f>
        <v>2125</v>
      </c>
      <c r="B123" s="2" t="str">
        <f>"應付股利"</f>
        <v>應付股利</v>
      </c>
    </row>
    <row r="124" spans="1:2" ht="14.25" customHeight="1">
      <c r="A124" s="2" t="str">
        <f>"2126"</f>
        <v>2126</v>
      </c>
      <c r="B124" s="2" t="str">
        <f>"應付保管品"</f>
        <v>應付保管品</v>
      </c>
    </row>
    <row r="125" spans="1:2" ht="14.25" customHeight="1">
      <c r="A125" s="2" t="str">
        <f>"2129"</f>
        <v>2129</v>
      </c>
      <c r="B125" s="2" t="str">
        <f>"其他應付款"</f>
        <v>其他應付款</v>
      </c>
    </row>
    <row r="126" spans="1:2" ht="14.25" customHeight="1">
      <c r="A126" s="2" t="str">
        <f>"2130"</f>
        <v>2130</v>
      </c>
      <c r="B126" s="2" t="str">
        <f>"預收款項"</f>
        <v>預收款項</v>
      </c>
    </row>
    <row r="127" spans="1:2" ht="14.25" customHeight="1">
      <c r="A127" s="2" t="str">
        <f>"2131"</f>
        <v>2131</v>
      </c>
      <c r="B127" s="2" t="str">
        <f>"預收貨款"</f>
        <v>預收貨款</v>
      </c>
    </row>
    <row r="128" spans="1:2" ht="14.25" customHeight="1">
      <c r="A128" s="2" t="str">
        <f>"2139"</f>
        <v>2139</v>
      </c>
      <c r="B128" s="2" t="str">
        <f>"其他預收款"</f>
        <v>其他預收款</v>
      </c>
    </row>
    <row r="129" spans="1:2" ht="14.25" customHeight="1">
      <c r="A129" s="2" t="str">
        <f>"2140"</f>
        <v>2140</v>
      </c>
      <c r="B129" s="2" t="str">
        <f>"公平價值變動入損益之金融負債－流動"</f>
        <v>公平價值變動入損益之金融負債－流動</v>
      </c>
    </row>
    <row r="130" spans="1:2" ht="14.25" customHeight="1">
      <c r="A130" s="2" t="str">
        <f>"2150"</f>
        <v>2150</v>
      </c>
      <c r="B130" s="2" t="str">
        <f>"避險衍生性金融負債－流動"</f>
        <v>避險衍生性金融負債－流動</v>
      </c>
    </row>
    <row r="131" spans="1:2" ht="14.25" customHeight="1">
      <c r="A131" s="2" t="str">
        <f>"2160"</f>
        <v>2160</v>
      </c>
      <c r="B131" s="2" t="str">
        <f>"以成本衡量之金融負債－流動"</f>
        <v>以成本衡量之金融負債－流動</v>
      </c>
    </row>
    <row r="132" spans="1:2" ht="14.25" customHeight="1">
      <c r="A132" s="2" t="str">
        <f>"2170"</f>
        <v>2170</v>
      </c>
      <c r="B132" s="2" t="str">
        <f>"特別股負債－流動"</f>
        <v>特別股負債－流動</v>
      </c>
    </row>
    <row r="133" spans="1:2" ht="14.25" customHeight="1">
      <c r="A133" s="2" t="str">
        <f>"2180"</f>
        <v>2180</v>
      </c>
      <c r="B133" s="2" t="str">
        <f>"其他金融負債－流動"</f>
        <v>其他金融負債－流動</v>
      </c>
    </row>
    <row r="134" spans="1:2" ht="14.25" customHeight="1">
      <c r="A134" s="2" t="str">
        <f>"2190"</f>
        <v>2190</v>
      </c>
      <c r="B134" s="2" t="str">
        <f>"其他流動負債"</f>
        <v>其他流動負債</v>
      </c>
    </row>
    <row r="135" spans="1:2" ht="14.25" customHeight="1">
      <c r="A135" s="2" t="str">
        <f>"2191"</f>
        <v>2191</v>
      </c>
      <c r="B135" s="2" t="str">
        <f>"暫 收 款"</f>
        <v>暫 收 款</v>
      </c>
    </row>
    <row r="136" spans="1:2" ht="14.25" customHeight="1">
      <c r="A136" s="2" t="str">
        <f>"2192"</f>
        <v>2192</v>
      </c>
      <c r="B136" s="2" t="str">
        <f>"股東[業主]往來"</f>
        <v>股東[業主]往來</v>
      </c>
    </row>
    <row r="137" spans="1:2" ht="14.25" customHeight="1">
      <c r="A137" s="2" t="str">
        <f>"219201"</f>
        <v>219201</v>
      </c>
      <c r="B137" s="2" t="str">
        <f>"股東[業主]往來_其他"</f>
        <v>股東[業主]往來_其他</v>
      </c>
    </row>
    <row r="138" spans="1:2" ht="14.25" customHeight="1">
      <c r="A138" s="2" t="str">
        <f>"2193"</f>
        <v>2193</v>
      </c>
      <c r="B138" s="2" t="str">
        <f>"同業往來"</f>
        <v>同業往來</v>
      </c>
    </row>
    <row r="139" spans="1:2" ht="14.25" customHeight="1">
      <c r="A139" s="2" t="str">
        <f>"2194"</f>
        <v>2194</v>
      </c>
      <c r="B139" s="2" t="str">
        <f>"銷項稅額"</f>
        <v>銷項稅額</v>
      </c>
    </row>
    <row r="140" spans="1:2" ht="14.25" customHeight="1">
      <c r="A140" s="2" t="str">
        <f>"2195"</f>
        <v>2195</v>
      </c>
      <c r="B140" s="2" t="str">
        <f>"代收款項"</f>
        <v>代收款項</v>
      </c>
    </row>
    <row r="141" spans="1:2" ht="14.25" customHeight="1">
      <c r="A141" s="2" t="str">
        <f>"219501"</f>
        <v>219501</v>
      </c>
      <c r="B141" s="2" t="str">
        <f>"代扣所得稅"</f>
        <v>代扣所得稅</v>
      </c>
    </row>
    <row r="142" spans="1:2" ht="14.25" customHeight="1">
      <c r="A142" s="2" t="str">
        <f>"219502"</f>
        <v>219502</v>
      </c>
      <c r="B142" s="2" t="str">
        <f>"代扣勞保費"</f>
        <v>代扣勞保費</v>
      </c>
    </row>
    <row r="143" spans="1:2" ht="14.25" customHeight="1">
      <c r="A143" s="2" t="str">
        <f>"219503"</f>
        <v>219503</v>
      </c>
      <c r="B143" s="2" t="str">
        <f>"代扣自提退休金"</f>
        <v>代扣自提退休金</v>
      </c>
    </row>
    <row r="144" spans="1:2" ht="14.25" customHeight="1">
      <c r="A144" s="2" t="str">
        <f>"219504"</f>
        <v>219504</v>
      </c>
      <c r="B144" s="2" t="str">
        <f>"代扣健保費"</f>
        <v>代扣健保費</v>
      </c>
    </row>
    <row r="145" spans="1:2" ht="14.25" customHeight="1">
      <c r="A145" s="2" t="str">
        <f>"219505"</f>
        <v>219505</v>
      </c>
      <c r="B145" s="2" t="str">
        <f>"代扣二代健保費"</f>
        <v>代扣二代健保費</v>
      </c>
    </row>
    <row r="146" spans="1:2" ht="14.25" customHeight="1">
      <c r="A146" s="2" t="str">
        <f>"2196"</f>
        <v>2196</v>
      </c>
      <c r="B146" s="2" t="str">
        <f>"其    他"</f>
        <v>其    他</v>
      </c>
    </row>
    <row r="147" spans="1:2" ht="14.25" customHeight="1">
      <c r="A147" s="2" t="str">
        <f>"2200"</f>
        <v>2200</v>
      </c>
      <c r="B147" s="2" t="str">
        <f>"長期負債"</f>
        <v>長期負債</v>
      </c>
    </row>
    <row r="148" spans="1:2" ht="14.25" customHeight="1">
      <c r="A148" s="2" t="str">
        <f>"2210"</f>
        <v>2210</v>
      </c>
      <c r="B148" s="2" t="str">
        <f>"應付公司債券"</f>
        <v>應付公司債券</v>
      </c>
    </row>
    <row r="149" spans="1:2" ht="14.25" customHeight="1">
      <c r="A149" s="2" t="str">
        <f>"2220"</f>
        <v>2220</v>
      </c>
      <c r="B149" s="2" t="str">
        <f>"長期借款"</f>
        <v>長期借款</v>
      </c>
    </row>
    <row r="150" spans="1:2" ht="14.25" customHeight="1">
      <c r="A150" s="2" t="str">
        <f>"2230"</f>
        <v>2230</v>
      </c>
      <c r="B150" s="2" t="str">
        <f>"公平價值變動列入損益之金融負債－非流動"</f>
        <v>公平價值變動列入損益之金融負債－非流動</v>
      </c>
    </row>
    <row r="151" spans="1:2" ht="14.25" customHeight="1">
      <c r="A151" s="2" t="str">
        <f>"2240"</f>
        <v>2240</v>
      </c>
      <c r="B151" s="2" t="str">
        <f>"避險之衍生性金融負債－非流動"</f>
        <v>避險之衍生性金融負債－非流動</v>
      </c>
    </row>
    <row r="152" spans="1:2" ht="14.25" customHeight="1">
      <c r="A152" s="2" t="str">
        <f>"2250"</f>
        <v>2250</v>
      </c>
      <c r="B152" s="2" t="str">
        <f>"以成本衡量之金融負債－非流動"</f>
        <v>以成本衡量之金融負債－非流動</v>
      </c>
    </row>
    <row r="153" spans="1:2" ht="14.25" customHeight="1">
      <c r="A153" s="2" t="str">
        <f>"2260"</f>
        <v>2260</v>
      </c>
      <c r="B153" s="2" t="str">
        <f>"特別股負債－非流動"</f>
        <v>特別股負債－非流動</v>
      </c>
    </row>
    <row r="154" spans="1:2" ht="14.25" customHeight="1">
      <c r="A154" s="2" t="str">
        <f>"2270"</f>
        <v>2270</v>
      </c>
      <c r="B154" s="2" t="str">
        <f>"其他金融負債－非流動"</f>
        <v>其他金融負債－非流動</v>
      </c>
    </row>
    <row r="155" spans="1:2" ht="14.25" customHeight="1">
      <c r="A155" s="2" t="str">
        <f>"2290"</f>
        <v>2290</v>
      </c>
      <c r="B155" s="2" t="str">
        <f>"其他長期負債"</f>
        <v>其他長期負債</v>
      </c>
    </row>
    <row r="156" spans="1:2" ht="14.25" customHeight="1">
      <c r="A156" s="2" t="str">
        <f>"2900"</f>
        <v>2900</v>
      </c>
      <c r="B156" s="2" t="str">
        <f>"其他負債"</f>
        <v>其他負債</v>
      </c>
    </row>
    <row r="157" spans="1:2" ht="14.25" customHeight="1">
      <c r="A157" s="2" t="str">
        <f>"2910"</f>
        <v>2910</v>
      </c>
      <c r="B157" s="2" t="str">
        <f>"存入保證金"</f>
        <v>存入保證金</v>
      </c>
    </row>
    <row r="158" spans="1:2" ht="14.25" customHeight="1">
      <c r="A158" s="2" t="str">
        <f>"2920"</f>
        <v>2920</v>
      </c>
      <c r="B158" s="2" t="str">
        <f>"土地增值稅準備"</f>
        <v>土地增值稅準備</v>
      </c>
    </row>
    <row r="159" spans="1:2" ht="14.25" customHeight="1">
      <c r="A159" s="2" t="str">
        <f>"2940"</f>
        <v>2940</v>
      </c>
      <c r="B159" s="2" t="str">
        <f>"退休金準備"</f>
        <v>退休金準備</v>
      </c>
    </row>
    <row r="160" spans="1:2" ht="14.25" customHeight="1">
      <c r="A160" s="2" t="str">
        <f>"2951"</f>
        <v>2951</v>
      </c>
      <c r="B160" s="2" t="str">
        <f>"國外投資損失準備"</f>
        <v>國外投資損失準備</v>
      </c>
    </row>
    <row r="161" spans="1:2" ht="14.25" customHeight="1">
      <c r="A161" s="2" t="str">
        <f>"2970"</f>
        <v>2970</v>
      </c>
      <c r="B161" s="2" t="str">
        <f>"受託承銷品"</f>
        <v>受託承銷品</v>
      </c>
    </row>
    <row r="162" spans="1:2" ht="14.25" customHeight="1">
      <c r="A162" s="2" t="str">
        <f>"2999"</f>
        <v>2999</v>
      </c>
      <c r="B162" s="2" t="str">
        <f>"其  他"</f>
        <v>其  他</v>
      </c>
    </row>
    <row r="163" spans="1:2" ht="14.25" customHeight="1">
      <c r="A163" s="2" t="str">
        <f>"2999A"</f>
        <v>2999A</v>
      </c>
      <c r="B163" s="2" t="str">
        <f>"代收稅款"</f>
        <v>代收稅款</v>
      </c>
    </row>
    <row r="164" spans="1:2" ht="14.25" customHeight="1">
      <c r="A164" s="2" t="str">
        <f>"3000"</f>
        <v>3000</v>
      </c>
      <c r="B164" s="2" t="str">
        <f>"業主權益"</f>
        <v>業主權益</v>
      </c>
    </row>
    <row r="165" spans="1:2" ht="14.25" customHeight="1">
      <c r="A165" s="2" t="str">
        <f>"3100"</f>
        <v>3100</v>
      </c>
      <c r="B165" s="2" t="str">
        <f>"資  本(實收)"</f>
        <v>資  本(實收)</v>
      </c>
    </row>
    <row r="166" spans="1:2" ht="14.25" customHeight="1">
      <c r="A166" s="2" t="str">
        <f>"3110"</f>
        <v>3110</v>
      </c>
      <c r="B166" s="2" t="str">
        <f>"資  本(登記)"</f>
        <v>資  本(登記)</v>
      </c>
    </row>
    <row r="167" spans="1:2" ht="14.25" customHeight="1">
      <c r="A167" s="2" t="str">
        <f>"311101"</f>
        <v>311101</v>
      </c>
      <c r="B167" s="2" t="str">
        <f>"加：預收股款"</f>
        <v>加：預收股款</v>
      </c>
    </row>
    <row r="168" spans="1:2" ht="14.25" customHeight="1">
      <c r="A168" s="2" t="str">
        <f>"3120"</f>
        <v>3120</v>
      </c>
      <c r="B168" s="2" t="str">
        <f>"減：未發行股本"</f>
        <v>減：未發行股本</v>
      </c>
    </row>
    <row r="169" spans="1:2" ht="14.25" customHeight="1">
      <c r="A169" s="2" t="str">
        <f>"3200"</f>
        <v>3200</v>
      </c>
      <c r="B169" s="2" t="str">
        <f>"公積及盈餘"</f>
        <v>公積及盈餘</v>
      </c>
    </row>
    <row r="170" spans="1:2" ht="14.25" customHeight="1">
      <c r="A170" s="2" t="str">
        <f>"3210"</f>
        <v>3210</v>
      </c>
      <c r="B170" s="2" t="str">
        <f>"法定盈餘公積"</f>
        <v>法定盈餘公積</v>
      </c>
    </row>
    <row r="171" spans="1:2" ht="14.25" customHeight="1">
      <c r="A171" s="2" t="str">
        <f>"3211"</f>
        <v>3211</v>
      </c>
      <c r="B171" s="2" t="str">
        <f>"法定盈餘公積(86年度以前餘額)"</f>
        <v>法定盈餘公積(86年度以前餘額)</v>
      </c>
    </row>
    <row r="172" spans="1:2" ht="14.25" customHeight="1">
      <c r="A172" s="2" t="str">
        <f>"3212"</f>
        <v>3212</v>
      </c>
      <c r="B172" s="2" t="str">
        <f>"法定盈餘公積(87至98年度餘額)"</f>
        <v>法定盈餘公積(87至98年度餘額)</v>
      </c>
    </row>
    <row r="173" spans="1:2" ht="14.25" customHeight="1">
      <c r="A173" s="2" t="str">
        <f>"3213"</f>
        <v>3213</v>
      </c>
      <c r="B173" s="2" t="str">
        <f>"法定盈餘公積(99年度以後餘額)"</f>
        <v>法定盈餘公積(99年度以後餘額)</v>
      </c>
    </row>
    <row r="174" spans="1:2" ht="14.25" customHeight="1">
      <c r="A174" s="2" t="str">
        <f>"3220"</f>
        <v>3220</v>
      </c>
      <c r="B174" s="2" t="str">
        <f>"資本公積"</f>
        <v>資本公積</v>
      </c>
    </row>
    <row r="175" spans="1:2" ht="14.25" customHeight="1">
      <c r="A175" s="2" t="str">
        <f>"3230"</f>
        <v>3230</v>
      </c>
      <c r="B175" s="2" t="str">
        <f>"特別盈餘公積"</f>
        <v>特別盈餘公積</v>
      </c>
    </row>
    <row r="176" spans="1:2" ht="14.25" customHeight="1">
      <c r="A176" s="2" t="str">
        <f>"3231"</f>
        <v>3231</v>
      </c>
      <c r="B176" s="2" t="str">
        <f>"特別盈餘公積(86年度以前餘額)"</f>
        <v>特別盈餘公積(86年度以前餘額)</v>
      </c>
    </row>
    <row r="177" spans="1:2" ht="14.25" customHeight="1">
      <c r="A177" s="2" t="str">
        <f>"3232"</f>
        <v>3232</v>
      </c>
      <c r="B177" s="2" t="str">
        <f>"特別盈餘公積(87至98年度餘額)"</f>
        <v>特別盈餘公積(87至98年度餘額)</v>
      </c>
    </row>
    <row r="178" spans="1:2" ht="14.25" customHeight="1">
      <c r="A178" s="2" t="str">
        <f>"3233"</f>
        <v>3233</v>
      </c>
      <c r="B178" s="2" t="str">
        <f>"特別盈餘公積(99年度以後餘額)"</f>
        <v>特別盈餘公積(99年度以後餘額)</v>
      </c>
    </row>
    <row r="179" spans="1:2" ht="14.25" customHeight="1">
      <c r="A179" s="2" t="str">
        <f>"3250"</f>
        <v>3250</v>
      </c>
      <c r="B179" s="2" t="str">
        <f>"累積盈虧"</f>
        <v>累積盈虧</v>
      </c>
    </row>
    <row r="180" spans="1:2" ht="14.25" customHeight="1">
      <c r="A180" s="2" t="str">
        <f>"3251"</f>
        <v>3251</v>
      </c>
      <c r="B180" s="2" t="str">
        <f>"累積盈虧(86年度以前餘額)"</f>
        <v>累積盈虧(86年度以前餘額)</v>
      </c>
    </row>
    <row r="181" spans="1:2" ht="14.25" customHeight="1">
      <c r="A181" s="2" t="str">
        <f>"3252"</f>
        <v>3252</v>
      </c>
      <c r="B181" s="2" t="str">
        <f>"累積盈虧(87至98年度餘額)"</f>
        <v>累積盈虧(87至98年度餘額)</v>
      </c>
    </row>
    <row r="182" spans="1:2" ht="14.25" customHeight="1">
      <c r="A182" s="2" t="str">
        <f>"3253"</f>
        <v>3253</v>
      </c>
      <c r="B182" s="2" t="str">
        <f>"累積盈虧(99年度以後餘額)"</f>
        <v>累積盈虧(99年度以後餘額)</v>
      </c>
    </row>
    <row r="183" spans="1:2" ht="14.25" customHeight="1">
      <c r="A183" s="2" t="str">
        <f>"3260"</f>
        <v>3260</v>
      </c>
      <c r="B183" s="2" t="str">
        <f>"本期損益"</f>
        <v>本期損益</v>
      </c>
    </row>
    <row r="184" spans="1:2" ht="14.25" customHeight="1">
      <c r="A184" s="2" t="str">
        <f>"3260A"</f>
        <v>3260A</v>
      </c>
      <c r="B184" s="2" t="str">
        <f>"所得稅費用"</f>
        <v>所得稅費用</v>
      </c>
    </row>
    <row r="185" spans="1:2" ht="14.25" customHeight="1">
      <c r="A185" s="2" t="str">
        <f>"3270"</f>
        <v>3270</v>
      </c>
      <c r="B185" s="2" t="str">
        <f>"其    他"</f>
        <v>其    他</v>
      </c>
    </row>
    <row r="186" spans="1:2" ht="14.25" customHeight="1">
      <c r="A186" s="2" t="str">
        <f>"3280"</f>
        <v>3280</v>
      </c>
      <c r="B186" s="2" t="str">
        <f>"減:庫藏股(成本法)"</f>
        <v>減:庫藏股(成本法)</v>
      </c>
    </row>
    <row r="187" spans="1:2" ht="14.25" customHeight="1">
      <c r="A187" s="2" t="str">
        <f>"4"</f>
        <v>4</v>
      </c>
      <c r="B187" s="2" t="str">
        <f>"營業收入"</f>
        <v>營業收入</v>
      </c>
    </row>
    <row r="188" spans="1:2" ht="14.25" customHeight="1">
      <c r="A188" s="2" t="str">
        <f>"4101"</f>
        <v>4101</v>
      </c>
      <c r="B188" s="2" t="str">
        <f>"銷貨收入"</f>
        <v>銷貨收入</v>
      </c>
    </row>
    <row r="189" spans="1:2" ht="14.25" customHeight="1">
      <c r="A189" s="2" t="str">
        <f>"4102"</f>
        <v>4102</v>
      </c>
      <c r="B189" s="2" t="str">
        <f>"銷貨退回"</f>
        <v>銷貨退回</v>
      </c>
    </row>
    <row r="190" spans="1:2" ht="14.25" customHeight="1">
      <c r="A190" s="2" t="str">
        <f>"4103"</f>
        <v>4103</v>
      </c>
      <c r="B190" s="2" t="str">
        <f>"銷貨折讓"</f>
        <v>銷貨折讓</v>
      </c>
    </row>
    <row r="191" spans="1:2" ht="14.25" customHeight="1">
      <c r="A191" s="2" t="str">
        <f>"4200"</f>
        <v>4200</v>
      </c>
      <c r="B191" s="2" t="str">
        <f>"勞務收入"</f>
        <v>勞務收入</v>
      </c>
    </row>
    <row r="192" spans="1:2" ht="14.25" customHeight="1">
      <c r="A192" s="2" t="str">
        <f>"4201"</f>
        <v>4201</v>
      </c>
      <c r="B192" s="2" t="str">
        <f>"加工收入"</f>
        <v>加工收入</v>
      </c>
    </row>
    <row r="193" spans="1:2" ht="14.25" customHeight="1">
      <c r="A193" s="2" t="str">
        <f>"4202"</f>
        <v>4202</v>
      </c>
      <c r="B193" s="2" t="str">
        <f>"勞務收入"</f>
        <v>勞務收入</v>
      </c>
    </row>
    <row r="194" spans="1:2" ht="14.25" customHeight="1">
      <c r="A194" s="2" t="str">
        <f>"4300"</f>
        <v>4300</v>
      </c>
      <c r="B194" s="2" t="str">
        <f>"利息收入"</f>
        <v>利息收入</v>
      </c>
    </row>
    <row r="195" spans="1:2" ht="14.25" customHeight="1">
      <c r="A195" s="2" t="str">
        <f>"4301"</f>
        <v>4301</v>
      </c>
      <c r="B195" s="2" t="str">
        <f>"樣品收入"</f>
        <v>樣品收入</v>
      </c>
    </row>
    <row r="196" spans="1:2" ht="14.25" customHeight="1">
      <c r="A196" s="2" t="str">
        <f>"4400"</f>
        <v>4400</v>
      </c>
      <c r="B196" s="2" t="str">
        <f>"維修收入"</f>
        <v>維修收入</v>
      </c>
    </row>
    <row r="197" spans="1:2" ht="14.25" customHeight="1">
      <c r="A197" s="2" t="str">
        <f>"4500"</f>
        <v>4500</v>
      </c>
      <c r="B197" s="2" t="str">
        <f>"工程收入"</f>
        <v>工程收入</v>
      </c>
    </row>
    <row r="198" spans="1:2" ht="14.25" customHeight="1">
      <c r="A198" s="2" t="str">
        <f>"4600"</f>
        <v>4600</v>
      </c>
      <c r="B198" s="2" t="str">
        <f>"佣金收入"</f>
        <v>佣金收入</v>
      </c>
    </row>
    <row r="199" spans="1:2" ht="14.25" customHeight="1">
      <c r="A199" s="2" t="str">
        <f>"4700"</f>
        <v>4700</v>
      </c>
      <c r="B199" s="2" t="str">
        <f>"業務收入"</f>
        <v>業務收入</v>
      </c>
    </row>
    <row r="200" spans="1:2" ht="14.25" customHeight="1">
      <c r="A200" s="2" t="str">
        <f>"4800"</f>
        <v>4800</v>
      </c>
      <c r="B200" s="2" t="str">
        <f>"運輸收入"</f>
        <v>運輸收入</v>
      </c>
    </row>
    <row r="201" spans="1:2" ht="14.25" customHeight="1">
      <c r="A201" s="2" t="str">
        <f>"4900"</f>
        <v>4900</v>
      </c>
      <c r="B201" s="2" t="str">
        <f>"其他營業收入"</f>
        <v>其他營業收入</v>
      </c>
    </row>
    <row r="202" spans="1:2" ht="14.25" customHeight="1">
      <c r="A202" s="2" t="str">
        <f>"5"</f>
        <v>5</v>
      </c>
      <c r="B202" s="2" t="str">
        <f>"營業成本"</f>
        <v>營業成本</v>
      </c>
    </row>
    <row r="203" spans="1:2" ht="14.25" customHeight="1">
      <c r="A203" s="2" t="str">
        <f>"5200"</f>
        <v>5200</v>
      </c>
      <c r="B203" s="2" t="str">
        <f>"銷貨成本"</f>
        <v>銷貨成本</v>
      </c>
    </row>
    <row r="204" spans="1:2" ht="14.25" customHeight="1">
      <c r="A204" s="2" t="str">
        <f>"5201"</f>
        <v>5201</v>
      </c>
      <c r="B204" s="2" t="str">
        <f>"進  貨"</f>
        <v>進  貨</v>
      </c>
    </row>
    <row r="205" spans="1:2" ht="14.25" customHeight="1">
      <c r="A205" s="2" t="str">
        <f>"520101"</f>
        <v>520101</v>
      </c>
      <c r="B205" s="2" t="str">
        <f>"進貨退出"</f>
        <v>進貨退出</v>
      </c>
    </row>
    <row r="206" spans="1:2" ht="14.25" customHeight="1">
      <c r="A206" s="2" t="str">
        <f>"520102"</f>
        <v>520102</v>
      </c>
      <c r="B206" s="2" t="str">
        <f>"進貨折讓"</f>
        <v>進貨折讓</v>
      </c>
    </row>
    <row r="207" spans="1:2" ht="14.25" customHeight="1">
      <c r="A207" s="2" t="str">
        <f>"520304"</f>
        <v>520304</v>
      </c>
      <c r="B207" s="2" t="str">
        <f>"加: 商品期中轉入"</f>
        <v>加: 商品期中轉入</v>
      </c>
    </row>
    <row r="208" spans="1:2" ht="14.25" customHeight="1">
      <c r="A208" s="2" t="str">
        <f>"520305"</f>
        <v>520305</v>
      </c>
      <c r="B208" s="2" t="str">
        <f>"減: 商品期中轉出"</f>
        <v>減: 商品期中轉出</v>
      </c>
    </row>
    <row r="209" spans="1:2" ht="14.25" customHeight="1">
      <c r="A209" s="2" t="str">
        <f>"5301"</f>
        <v>5301</v>
      </c>
      <c r="B209" s="2" t="str">
        <f>"原  料"</f>
        <v>原  料</v>
      </c>
    </row>
    <row r="210" spans="1:2" ht="14.25" customHeight="1">
      <c r="A210" s="2" t="str">
        <f>"530101"</f>
        <v>530101</v>
      </c>
      <c r="B210" s="2" t="str">
        <f>"進料退出"</f>
        <v>進料退出</v>
      </c>
    </row>
    <row r="211" spans="1:2" ht="14.25" customHeight="1">
      <c r="A211" s="2" t="str">
        <f>"530102"</f>
        <v>530102</v>
      </c>
      <c r="B211" s="2" t="str">
        <f>"進料折讓"</f>
        <v>進料折讓</v>
      </c>
    </row>
    <row r="212" spans="1:2" ht="14.25" customHeight="1">
      <c r="A212" s="2" t="str">
        <f>"530104"</f>
        <v>530104</v>
      </c>
      <c r="B212" s="2" t="str">
        <f>"加:原料期中轉入"</f>
        <v>加:原料期中轉入</v>
      </c>
    </row>
    <row r="213" spans="1:2" ht="14.25" customHeight="1">
      <c r="A213" s="2" t="str">
        <f>"530105"</f>
        <v>530105</v>
      </c>
      <c r="B213" s="2" t="str">
        <f>"減:原料期中轉出"</f>
        <v>減:原料期中轉出</v>
      </c>
    </row>
    <row r="214" spans="1:2" ht="14.25" customHeight="1">
      <c r="A214" s="2" t="str">
        <f>"5302"</f>
        <v>5302</v>
      </c>
      <c r="B214" s="2" t="str">
        <f>"物  料"</f>
        <v>物  料</v>
      </c>
    </row>
    <row r="215" spans="1:2" ht="14.25" customHeight="1">
      <c r="A215" s="2" t="str">
        <f>"530201"</f>
        <v>530201</v>
      </c>
      <c r="B215" s="2" t="str">
        <f>"物料退出"</f>
        <v>物料退出</v>
      </c>
    </row>
    <row r="216" spans="1:2" ht="14.25" customHeight="1">
      <c r="A216" s="2" t="str">
        <f>"530202"</f>
        <v>530202</v>
      </c>
      <c r="B216" s="2" t="str">
        <f>"物料折讓"</f>
        <v>物料折讓</v>
      </c>
    </row>
    <row r="217" spans="1:2" ht="14.25" customHeight="1">
      <c r="A217" s="2" t="str">
        <f>"530204"</f>
        <v>530204</v>
      </c>
      <c r="B217" s="2" t="str">
        <f>"加:物料期中轉入"</f>
        <v>加:物料期中轉入</v>
      </c>
    </row>
    <row r="218" spans="1:2" ht="14.25" customHeight="1">
      <c r="A218" s="2" t="str">
        <f>"530205"</f>
        <v>530205</v>
      </c>
      <c r="B218" s="2" t="str">
        <f>"減:物料期中轉出"</f>
        <v>減:物料期中轉出</v>
      </c>
    </row>
    <row r="219" spans="1:2" ht="14.25" customHeight="1">
      <c r="A219" s="2" t="str">
        <f>"530304"</f>
        <v>530304</v>
      </c>
      <c r="B219" s="2" t="str">
        <f>"加:在製品期中轉入"</f>
        <v>加:在製品期中轉入</v>
      </c>
    </row>
    <row r="220" spans="1:2" ht="14.25" customHeight="1">
      <c r="A220" s="2" t="str">
        <f>"530305"</f>
        <v>530305</v>
      </c>
      <c r="B220" s="2" t="str">
        <f>"減:在製品期中轉出"</f>
        <v>減:在製品期中轉出</v>
      </c>
    </row>
    <row r="221" spans="1:2" ht="14.25" customHeight="1">
      <c r="A221" s="2" t="str">
        <f>"530404"</f>
        <v>530404</v>
      </c>
      <c r="B221" s="2" t="str">
        <f>"加:製成品期中轉入"</f>
        <v>加:製成品期中轉入</v>
      </c>
    </row>
    <row r="222" spans="1:2" ht="14.25" customHeight="1">
      <c r="A222" s="2" t="str">
        <f>"530405"</f>
        <v>530405</v>
      </c>
      <c r="B222" s="2" t="str">
        <f>"減:製成品期中轉出"</f>
        <v>減:製成品期中轉出</v>
      </c>
    </row>
    <row r="223" spans="1:2" ht="14.25" customHeight="1">
      <c r="A223" s="2" t="str">
        <f>"5500"</f>
        <v>5500</v>
      </c>
      <c r="B223" s="2" t="str">
        <f>"工程成本"</f>
        <v>工程成本</v>
      </c>
    </row>
    <row r="224" spans="1:2" ht="14.25" customHeight="1">
      <c r="A224" s="2" t="str">
        <f>"5600"</f>
        <v>5600</v>
      </c>
      <c r="B224" s="2" t="str">
        <f>"勞務成本"</f>
        <v>勞務成本</v>
      </c>
    </row>
    <row r="225" spans="1:2" ht="14.25" customHeight="1">
      <c r="A225" s="2" t="str">
        <f>"5601"</f>
        <v>5601</v>
      </c>
      <c r="B225" s="2" t="str">
        <f>"勞務成本-5601"</f>
        <v>勞務成本-5601</v>
      </c>
    </row>
    <row r="226" spans="1:2" ht="14.25" customHeight="1">
      <c r="A226" s="2" t="str">
        <f>"5700"</f>
        <v>5700</v>
      </c>
      <c r="B226" s="2" t="str">
        <f>"修理成本"</f>
        <v>修理成本</v>
      </c>
    </row>
    <row r="227" spans="1:2" ht="14.25" customHeight="1">
      <c r="A227" s="2" t="str">
        <f>"5701"</f>
        <v>5701</v>
      </c>
      <c r="B227" s="2" t="str">
        <f>"修理成本-5701"</f>
        <v>修理成本-5701</v>
      </c>
    </row>
    <row r="228" spans="1:2" ht="14.25" customHeight="1">
      <c r="A228" s="2" t="str">
        <f>"5900"</f>
        <v>5900</v>
      </c>
      <c r="B228" s="2" t="str">
        <f>"其他營業成本"</f>
        <v>其他營業成本</v>
      </c>
    </row>
    <row r="229" spans="1:2" ht="14.25" customHeight="1">
      <c r="A229" s="2" t="str">
        <f>"5900A"</f>
        <v>5900A</v>
      </c>
      <c r="B229" s="2" t="str">
        <f>"其他營業成本_"</f>
        <v>其他營業成本_</v>
      </c>
    </row>
    <row r="230" spans="1:2" ht="14.25" customHeight="1">
      <c r="A230" s="2" t="str">
        <f>"5900B"</f>
        <v>5900B</v>
      </c>
      <c r="B230" s="2" t="str">
        <f>"進口費用"</f>
        <v>進口費用</v>
      </c>
    </row>
    <row r="231" spans="1:2" ht="14.25" customHeight="1">
      <c r="A231" s="2" t="str">
        <f>"5900C"</f>
        <v>5900C</v>
      </c>
      <c r="B231" s="2" t="str">
        <f>"消耗費用"</f>
        <v>消耗費用</v>
      </c>
    </row>
    <row r="232" spans="1:2" ht="14.25" customHeight="1">
      <c r="A232" s="2" t="str">
        <f>"5900D"</f>
        <v>5900D</v>
      </c>
      <c r="B232" s="2" t="str">
        <f>"委託加工"</f>
        <v>委託加工</v>
      </c>
    </row>
    <row r="233" spans="1:2" ht="14.25" customHeight="1">
      <c r="A233" s="2" t="str">
        <f>"5900E"</f>
        <v>5900E</v>
      </c>
      <c r="B233" s="2" t="str">
        <f>"製作成本"</f>
        <v>製作成本</v>
      </c>
    </row>
    <row r="234" spans="1:2" ht="14.25" customHeight="1">
      <c r="A234" s="2" t="str">
        <f>"5900F"</f>
        <v>5900F</v>
      </c>
      <c r="B234" s="2" t="str">
        <f>"運輸成本"</f>
        <v>運輸成本</v>
      </c>
    </row>
    <row r="235" spans="1:2" ht="14.25" customHeight="1">
      <c r="A235" s="2" t="str">
        <f>"5902"</f>
        <v>5902</v>
      </c>
      <c r="B235" s="2" t="str">
        <f>"退稅收入(外銷)"</f>
        <v>退稅收入(外銷)</v>
      </c>
    </row>
    <row r="236" spans="1:2" ht="14.25" customHeight="1">
      <c r="A236" s="2" t="str">
        <f>"5903"</f>
        <v>5903</v>
      </c>
      <c r="B236" s="2" t="str">
        <f>"產銷成本減項"</f>
        <v>產銷成本減項</v>
      </c>
    </row>
    <row r="237" spans="1:2" ht="14.25" customHeight="1">
      <c r="A237" s="2" t="str">
        <f>"5904"</f>
        <v>5904</v>
      </c>
      <c r="B237" s="2" t="str">
        <f>"產銷成本加項"</f>
        <v>產銷成本加項</v>
      </c>
    </row>
    <row r="238" spans="1:2" ht="14.25" customHeight="1">
      <c r="A238" s="2" t="str">
        <f>"6000"</f>
        <v>6000</v>
      </c>
      <c r="B238" s="2" t="str">
        <f>"生產成本"</f>
        <v>生產成本</v>
      </c>
    </row>
    <row r="239" spans="1:2" ht="14.25" customHeight="1">
      <c r="A239" s="2" t="str">
        <f>"6100"</f>
        <v>6100</v>
      </c>
      <c r="B239" s="2" t="str">
        <f>"直接原料"</f>
        <v>直接原料</v>
      </c>
    </row>
    <row r="240" spans="1:2" ht="14.25" customHeight="1">
      <c r="A240" s="2" t="str">
        <f>"6200"</f>
        <v>6200</v>
      </c>
      <c r="B240" s="2" t="str">
        <f>"直接人工"</f>
        <v>直接人工</v>
      </c>
    </row>
    <row r="241" spans="1:2" ht="14.25" customHeight="1">
      <c r="A241" s="2" t="str">
        <f>"6200A"</f>
        <v>6200A</v>
      </c>
      <c r="B241" s="2" t="str">
        <f>"直接人工"</f>
        <v>直接人工</v>
      </c>
    </row>
    <row r="242" spans="1:2" ht="14.25" customHeight="1">
      <c r="A242" s="2" t="str">
        <f>"6200B"</f>
        <v>6200B</v>
      </c>
      <c r="B242" s="2" t="str">
        <f>"直接人工-伙食費"</f>
        <v>直接人工-伙食費</v>
      </c>
    </row>
    <row r="243" spans="1:2" ht="14.25" customHeight="1">
      <c r="A243" s="2" t="str">
        <f>"6200C"</f>
        <v>6200C</v>
      </c>
      <c r="B243" s="2" t="str">
        <f>"直接人工-加班費"</f>
        <v>直接人工-加班費</v>
      </c>
    </row>
    <row r="244" spans="1:2" ht="14.25" customHeight="1">
      <c r="A244" s="2" t="str">
        <f>"6300"</f>
        <v>6300</v>
      </c>
      <c r="B244" s="2" t="str">
        <f>"製造費用"</f>
        <v>製造費用</v>
      </c>
    </row>
    <row r="245" spans="1:2" ht="14.25" customHeight="1">
      <c r="A245" s="2" t="str">
        <f>"6300A"</f>
        <v>6300A</v>
      </c>
      <c r="B245" s="2" t="str">
        <f>"間接人工"</f>
        <v>間接人工</v>
      </c>
    </row>
    <row r="246" spans="1:2" ht="14.25" customHeight="1">
      <c r="A246" s="2" t="str">
        <f>"6301"</f>
        <v>6301</v>
      </c>
      <c r="B246" s="2" t="str">
        <f>"(製)薪資支出"</f>
        <v>(製)薪資支出</v>
      </c>
    </row>
    <row r="247" spans="1:2" ht="14.25" customHeight="1">
      <c r="A247" s="2" t="str">
        <f>"6302"</f>
        <v>6302</v>
      </c>
      <c r="B247" s="2" t="str">
        <f>"(製)租金支出"</f>
        <v>(製)租金支出</v>
      </c>
    </row>
    <row r="248" spans="1:2" ht="14.25" customHeight="1">
      <c r="A248" s="2" t="str">
        <f>"6303"</f>
        <v>6303</v>
      </c>
      <c r="B248" s="2" t="str">
        <f>"(製)文具用品"</f>
        <v>(製)文具用品</v>
      </c>
    </row>
    <row r="249" spans="1:2" ht="14.25" customHeight="1">
      <c r="A249" s="2" t="str">
        <f>"6304"</f>
        <v>6304</v>
      </c>
      <c r="B249" s="2" t="str">
        <f>"(製)旅費"</f>
        <v>(製)旅費</v>
      </c>
    </row>
    <row r="250" spans="1:2" ht="14.25" customHeight="1">
      <c r="A250" s="2" t="str">
        <f>"6305"</f>
        <v>6305</v>
      </c>
      <c r="B250" s="2" t="str">
        <f>"(製)運費"</f>
        <v>(製)運費</v>
      </c>
    </row>
    <row r="251" spans="1:2" ht="14.25" customHeight="1">
      <c r="A251" s="2" t="str">
        <f>"6306"</f>
        <v>6306</v>
      </c>
      <c r="B251" s="2" t="str">
        <f>"(製)郵電費"</f>
        <v>(製)郵電費</v>
      </c>
    </row>
    <row r="252" spans="1:2" ht="14.25" customHeight="1">
      <c r="A252" s="2" t="str">
        <f>"6307"</f>
        <v>6307</v>
      </c>
      <c r="B252" s="2" t="str">
        <f>"(製)修繕費"</f>
        <v>(製)修繕費</v>
      </c>
    </row>
    <row r="253" spans="1:2" ht="14.25" customHeight="1">
      <c r="A253" s="2" t="str">
        <f>"6308"</f>
        <v>6308</v>
      </c>
      <c r="B253" s="2" t="str">
        <f>"(製)包裝費"</f>
        <v>(製)包裝費</v>
      </c>
    </row>
    <row r="254" spans="1:2" ht="14.25" customHeight="1">
      <c r="A254" s="2" t="str">
        <f>"6309"</f>
        <v>6309</v>
      </c>
      <c r="B254" s="2" t="str">
        <f>"(製)水電瓦斯費"</f>
        <v>(製)水電瓦斯費</v>
      </c>
    </row>
    <row r="255" spans="1:2" ht="14.25" customHeight="1">
      <c r="A255" s="2" t="str">
        <f>"6310"</f>
        <v>6310</v>
      </c>
      <c r="B255" s="2" t="str">
        <f>"(製)保險費"</f>
        <v>(製)保險費</v>
      </c>
    </row>
    <row r="256" spans="1:2" ht="14.25" customHeight="1">
      <c r="A256" s="2" t="str">
        <f>"6311"</f>
        <v>6311</v>
      </c>
      <c r="B256" s="2" t="str">
        <f>"(製)燃料費"</f>
        <v>(製)燃料費</v>
      </c>
    </row>
    <row r="257" spans="1:2" ht="14.25" customHeight="1">
      <c r="A257" s="2" t="str">
        <f>"6312"</f>
        <v>6312</v>
      </c>
      <c r="B257" s="2" t="str">
        <f>"(製)加工費"</f>
        <v>(製)加工費</v>
      </c>
    </row>
    <row r="258" spans="1:2" ht="14.25" customHeight="1">
      <c r="A258" s="2" t="str">
        <f>"6313"</f>
        <v>6313</v>
      </c>
      <c r="B258" s="2" t="str">
        <f>"(製)稅捐"</f>
        <v>(製)稅捐</v>
      </c>
    </row>
    <row r="259" spans="1:2" ht="14.25" customHeight="1">
      <c r="A259" s="2" t="str">
        <f>"6314"</f>
        <v>6314</v>
      </c>
      <c r="B259" s="2" t="str">
        <f>"(製)折舊費用"</f>
        <v>(製)折舊費用</v>
      </c>
    </row>
    <row r="260" spans="1:2" ht="14.25" customHeight="1">
      <c r="A260" s="2" t="str">
        <f>"6314A"</f>
        <v>6314A</v>
      </c>
      <c r="B260" s="2" t="str">
        <f>"(製)房屋折舊"</f>
        <v>(製)房屋折舊</v>
      </c>
    </row>
    <row r="261" spans="1:2" ht="14.25" customHeight="1">
      <c r="A261" s="2" t="str">
        <f>"6314B"</f>
        <v>6314B</v>
      </c>
      <c r="B261" s="2" t="str">
        <f>"(製)機械設備折舊"</f>
        <v>(製)機械設備折舊</v>
      </c>
    </row>
    <row r="262" spans="1:2" ht="14.25" customHeight="1">
      <c r="A262" s="2" t="str">
        <f>"6314C"</f>
        <v>6314C</v>
      </c>
      <c r="B262" s="2" t="str">
        <f>"(製)運輸設備折舊"</f>
        <v>(製)運輸設備折舊</v>
      </c>
    </row>
    <row r="263" spans="1:2" ht="14.25" customHeight="1">
      <c r="A263" s="2" t="str">
        <f>"6314D"</f>
        <v>6314D</v>
      </c>
      <c r="B263" s="2" t="str">
        <f>"(製)生財器具折舊"</f>
        <v>(製)生財器具折舊</v>
      </c>
    </row>
    <row r="264" spans="1:2" ht="14.25" customHeight="1">
      <c r="A264" s="2" t="str">
        <f>"6314E"</f>
        <v>6314E</v>
      </c>
      <c r="B264" s="2" t="str">
        <f>"(製)雜項設備折舊"</f>
        <v>(製)雜項設備折舊</v>
      </c>
    </row>
    <row r="265" spans="1:2" ht="14.25" customHeight="1">
      <c r="A265" s="2" t="str">
        <f>"6314G"</f>
        <v>6314G</v>
      </c>
      <c r="B265" s="2" t="str">
        <f>"(製)電氣設備折舊"</f>
        <v>(製)電氣設備折舊</v>
      </c>
    </row>
    <row r="266" spans="1:2" ht="14.25" customHeight="1">
      <c r="A266" s="2" t="str">
        <f>"6315"</f>
        <v>6315</v>
      </c>
      <c r="B266" s="2" t="str">
        <f>"(製)各項耗竭及攤提"</f>
        <v>(製)各項耗竭及攤提</v>
      </c>
    </row>
    <row r="267" spans="1:2" ht="14.25" customHeight="1">
      <c r="A267" s="2" t="str">
        <f>"6316"</f>
        <v>6316</v>
      </c>
      <c r="B267" s="2" t="str">
        <f>"(製)伙食費"</f>
        <v>(製)伙食費</v>
      </c>
    </row>
    <row r="268" spans="1:2" ht="14.25" customHeight="1">
      <c r="A268" s="2" t="str">
        <f>"6317"</f>
        <v>6317</v>
      </c>
      <c r="B268" s="2" t="str">
        <f>"(製)職工福利"</f>
        <v>(製)職工福利</v>
      </c>
    </row>
    <row r="269" spans="1:2" ht="14.25" customHeight="1">
      <c r="A269" s="2" t="str">
        <f>"6318"</f>
        <v>6318</v>
      </c>
      <c r="B269" s="2" t="str">
        <f>"(製)研究費"</f>
        <v>(製)研究費</v>
      </c>
    </row>
    <row r="270" spans="1:2" ht="14.25" customHeight="1">
      <c r="A270" s="2" t="str">
        <f>"6319"</f>
        <v>6319</v>
      </c>
      <c r="B270" s="2" t="str">
        <f>"(製)雜項購置"</f>
        <v>(製)雜項購置</v>
      </c>
    </row>
    <row r="271" spans="1:2" ht="14.25" customHeight="1">
      <c r="A271" s="2" t="str">
        <f>"6320"</f>
        <v>6320</v>
      </c>
      <c r="B271" s="2" t="str">
        <f>"(製)訓練費"</f>
        <v>(製)訓練費</v>
      </c>
    </row>
    <row r="272" spans="1:2" ht="14.25" customHeight="1">
      <c r="A272" s="2" t="str">
        <f>"6321"</f>
        <v>6321</v>
      </c>
      <c r="B272" s="2" t="str">
        <f>"(製)加班費"</f>
        <v>(製)加班費</v>
      </c>
    </row>
    <row r="273" spans="1:2" ht="14.25" customHeight="1">
      <c r="A273" s="2" t="str">
        <f>"6322"</f>
        <v>6322</v>
      </c>
      <c r="B273" s="2" t="str">
        <f>"(製)消耗品"</f>
        <v>(製)消耗品</v>
      </c>
    </row>
    <row r="274" spans="1:2" ht="14.25" customHeight="1">
      <c r="A274" s="2" t="str">
        <f>"6323"</f>
        <v>6323</v>
      </c>
      <c r="B274" s="2" t="str">
        <f>"(製)雜費"</f>
        <v>(製)雜費</v>
      </c>
    </row>
    <row r="275" spans="1:2" ht="14.25" customHeight="1">
      <c r="A275" s="2" t="str">
        <f>"6390"</f>
        <v>6390</v>
      </c>
      <c r="B275" s="2" t="str">
        <f>"(製)其他製造費用"</f>
        <v>(製)其他製造費用</v>
      </c>
    </row>
    <row r="276" spans="1:2" ht="14.25" customHeight="1">
      <c r="A276" s="2" t="str">
        <f>"8"</f>
        <v>8</v>
      </c>
      <c r="B276" s="2" t="str">
        <f>"營業費用類"</f>
        <v>營業費用類</v>
      </c>
    </row>
    <row r="277" spans="1:2" ht="14.25" customHeight="1">
      <c r="A277" s="2" t="str">
        <f>"8100"</f>
        <v>8100</v>
      </c>
      <c r="B277" s="2" t="str">
        <f>"管理費用"</f>
        <v>管理費用</v>
      </c>
    </row>
    <row r="278" spans="1:2" ht="14.25" customHeight="1">
      <c r="A278" s="2" t="str">
        <f>"8110"</f>
        <v>8110</v>
      </c>
      <c r="B278" s="2" t="str">
        <f>"薪  資"</f>
        <v>薪  資</v>
      </c>
    </row>
    <row r="279" spans="1:2" ht="14.25" customHeight="1">
      <c r="A279" s="2" t="str">
        <f>"8111"</f>
        <v>8111</v>
      </c>
      <c r="B279" s="2" t="str">
        <f>"租金支出"</f>
        <v>租金支出</v>
      </c>
    </row>
    <row r="280" spans="1:2" ht="14.25" customHeight="1">
      <c r="A280" s="2" t="str">
        <f>"8112"</f>
        <v>8112</v>
      </c>
      <c r="B280" s="2" t="str">
        <f>"文具用品"</f>
        <v>文具用品</v>
      </c>
    </row>
    <row r="281" spans="1:2" ht="14.25" customHeight="1">
      <c r="A281" s="2" t="str">
        <f>"8113"</f>
        <v>8113</v>
      </c>
      <c r="B281" s="2" t="str">
        <f>"旅  費"</f>
        <v>旅  費</v>
      </c>
    </row>
    <row r="282" spans="1:2" ht="14.25" customHeight="1">
      <c r="A282" s="2" t="str">
        <f>"8114"</f>
        <v>8114</v>
      </c>
      <c r="B282" s="2" t="str">
        <f>"運  費"</f>
        <v>運  費</v>
      </c>
    </row>
    <row r="283" spans="1:2" ht="14.25" customHeight="1">
      <c r="A283" s="2" t="str">
        <f>"8115"</f>
        <v>8115</v>
      </c>
      <c r="B283" s="2" t="str">
        <f>"郵電費"</f>
        <v>郵電費</v>
      </c>
    </row>
    <row r="284" spans="1:2" ht="14.25" customHeight="1">
      <c r="A284" s="2" t="str">
        <f>"8116"</f>
        <v>8116</v>
      </c>
      <c r="B284" s="2" t="str">
        <f>"修繕費"</f>
        <v>修繕費</v>
      </c>
    </row>
    <row r="285" spans="1:2" ht="14.25" customHeight="1">
      <c r="A285" s="2" t="str">
        <f>"8117"</f>
        <v>8117</v>
      </c>
      <c r="B285" s="2" t="str">
        <f>"廣告費"</f>
        <v>廣告費</v>
      </c>
    </row>
    <row r="286" spans="1:2" ht="14.25" customHeight="1">
      <c r="A286" s="2" t="str">
        <f>"8118"</f>
        <v>8118</v>
      </c>
      <c r="B286" s="2" t="str">
        <f>"水電瓦斯費"</f>
        <v>水電瓦斯費</v>
      </c>
    </row>
    <row r="287" spans="1:2" ht="14.25" customHeight="1">
      <c r="A287" s="2" t="str">
        <f>"8119"</f>
        <v>8119</v>
      </c>
      <c r="B287" s="2" t="str">
        <f>"保險費"</f>
        <v>保險費</v>
      </c>
    </row>
    <row r="288" spans="1:2" ht="14.25" customHeight="1">
      <c r="A288" s="2" t="str">
        <f>"8120"</f>
        <v>8120</v>
      </c>
      <c r="B288" s="2" t="str">
        <f>"交際費"</f>
        <v>交際費</v>
      </c>
    </row>
    <row r="289" spans="1:2" ht="14.25" customHeight="1">
      <c r="A289" s="2" t="str">
        <f>"8121"</f>
        <v>8121</v>
      </c>
      <c r="B289" s="2" t="str">
        <f>"捐  贈"</f>
        <v>捐  贈</v>
      </c>
    </row>
    <row r="290" spans="1:2" ht="14.25" customHeight="1">
      <c r="A290" s="2" t="str">
        <f>"8122"</f>
        <v>8122</v>
      </c>
      <c r="B290" s="2" t="str">
        <f>"稅  捐"</f>
        <v>稅  捐</v>
      </c>
    </row>
    <row r="291" spans="1:2" ht="14.25" customHeight="1">
      <c r="A291" s="2" t="str">
        <f>"8123"</f>
        <v>8123</v>
      </c>
      <c r="B291" s="2" t="str">
        <f>"呆帳損失"</f>
        <v>呆帳損失</v>
      </c>
    </row>
    <row r="292" spans="1:2" ht="14.25" customHeight="1">
      <c r="A292" s="2" t="str">
        <f>"8124"</f>
        <v>8124</v>
      </c>
      <c r="B292" s="2" t="str">
        <f>"折舊費用"</f>
        <v>折舊費用</v>
      </c>
    </row>
    <row r="293" spans="1:2" ht="14.25" customHeight="1">
      <c r="A293" s="2" t="str">
        <f>"8124A"</f>
        <v>8124A</v>
      </c>
      <c r="B293" s="2" t="str">
        <f>"房屋折舊"</f>
        <v>房屋折舊</v>
      </c>
    </row>
    <row r="294" spans="1:2" ht="14.25" customHeight="1">
      <c r="A294" s="2" t="str">
        <f>"8124B"</f>
        <v>8124B</v>
      </c>
      <c r="B294" s="2" t="str">
        <f>"機械設備折舊"</f>
        <v>機械設備折舊</v>
      </c>
    </row>
    <row r="295" spans="1:2" ht="14.25" customHeight="1">
      <c r="A295" s="2" t="str">
        <f>"8124C"</f>
        <v>8124C</v>
      </c>
      <c r="B295" s="2" t="str">
        <f>"運輸設備折舊"</f>
        <v>運輸設備折舊</v>
      </c>
    </row>
    <row r="296" spans="1:2" ht="14.25" customHeight="1">
      <c r="A296" s="2" t="str">
        <f>"8124D"</f>
        <v>8124D</v>
      </c>
      <c r="B296" s="2" t="str">
        <f>"生財器具折舊"</f>
        <v>生財器具折舊</v>
      </c>
    </row>
    <row r="297" spans="1:2" ht="14.25" customHeight="1">
      <c r="A297" s="2" t="str">
        <f>"8124E"</f>
        <v>8124E</v>
      </c>
      <c r="B297" s="2" t="str">
        <f>"雜項設備折舊"</f>
        <v>雜項設備折舊</v>
      </c>
    </row>
    <row r="298" spans="1:2" ht="14.25" customHeight="1">
      <c r="A298" s="2" t="str">
        <f>"8124F"</f>
        <v>8124F</v>
      </c>
      <c r="B298" s="2" t="str">
        <f>"廠房設備折舊"</f>
        <v>廠房設備折舊</v>
      </c>
    </row>
    <row r="299" spans="1:2" ht="14.25" customHeight="1">
      <c r="A299" s="2" t="str">
        <f>"8124G"</f>
        <v>8124G</v>
      </c>
      <c r="B299" s="2" t="str">
        <f>"電器設備折舊"</f>
        <v>電器設備折舊</v>
      </c>
    </row>
    <row r="300" spans="1:2" ht="14.25" customHeight="1">
      <c r="A300" s="2" t="str">
        <f>"8125"</f>
        <v>8125</v>
      </c>
      <c r="B300" s="2" t="str">
        <f>"各項耗竭及攤提"</f>
        <v>各項耗竭及攤提</v>
      </c>
    </row>
    <row r="301" spans="1:2" ht="14.25" customHeight="1">
      <c r="A301" s="2" t="str">
        <f>"8126"</f>
        <v>8126</v>
      </c>
      <c r="B301" s="2" t="str">
        <f>"外銷損失"</f>
        <v>外銷損失</v>
      </c>
    </row>
    <row r="302" spans="1:2" ht="14.25" customHeight="1">
      <c r="A302" s="2" t="str">
        <f>"8127"</f>
        <v>8127</v>
      </c>
      <c r="B302" s="2" t="str">
        <f>"伙食費"</f>
        <v>伙食費</v>
      </c>
    </row>
    <row r="303" spans="1:2" ht="14.25" customHeight="1">
      <c r="A303" s="2" t="str">
        <f>"8128"</f>
        <v>8128</v>
      </c>
      <c r="B303" s="2" t="str">
        <f>"職工福利"</f>
        <v>職工福利</v>
      </c>
    </row>
    <row r="304" spans="1:2" ht="14.25" customHeight="1">
      <c r="A304" s="2" t="str">
        <f>"8129"</f>
        <v>8129</v>
      </c>
      <c r="B304" s="2" t="str">
        <f>"研究費"</f>
        <v>研究費</v>
      </c>
    </row>
    <row r="305" spans="1:2" ht="14.25" customHeight="1">
      <c r="A305" s="2" t="str">
        <f>"8130"</f>
        <v>8130</v>
      </c>
      <c r="B305" s="2" t="str">
        <f>"佣金支出"</f>
        <v>佣金支出</v>
      </c>
    </row>
    <row r="306" spans="1:2" ht="14.25" customHeight="1">
      <c r="A306" s="2" t="str">
        <f>"8131"</f>
        <v>8131</v>
      </c>
      <c r="B306" s="2" t="str">
        <f>"訓練費"</f>
        <v>訓練費</v>
      </c>
    </row>
    <row r="307" spans="1:2" ht="14.25" customHeight="1">
      <c r="A307" s="2" t="str">
        <f>"8132"</f>
        <v>8132</v>
      </c>
      <c r="B307" s="2" t="str">
        <f>"其他費用"</f>
        <v>其他費用</v>
      </c>
    </row>
    <row r="308" spans="1:2" ht="14.25" customHeight="1">
      <c r="A308" s="2" t="str">
        <f>"813201"</f>
        <v>813201</v>
      </c>
      <c r="B308" s="2" t="str">
        <f>"手續費"</f>
        <v>手續費</v>
      </c>
    </row>
    <row r="309" spans="1:2" ht="14.25" customHeight="1">
      <c r="A309" s="2" t="str">
        <f>"813202"</f>
        <v>813202</v>
      </c>
      <c r="B309" s="2" t="str">
        <f>"交通費"</f>
        <v>交通費</v>
      </c>
    </row>
    <row r="310" spans="1:2" ht="14.25" customHeight="1">
      <c r="A310" s="2" t="str">
        <f>"813203"</f>
        <v>813203</v>
      </c>
      <c r="B310" s="2" t="str">
        <f>"樣品費"</f>
        <v>樣品費</v>
      </c>
    </row>
    <row r="311" spans="1:2" ht="14.25" customHeight="1">
      <c r="A311" s="2" t="str">
        <f>"813204"</f>
        <v>813204</v>
      </c>
      <c r="B311" s="2" t="str">
        <f>"書報雜誌"</f>
        <v>書報雜誌</v>
      </c>
    </row>
    <row r="312" spans="1:2" ht="14.25" customHeight="1">
      <c r="A312" s="2" t="str">
        <f>"813205"</f>
        <v>813205</v>
      </c>
      <c r="B312" s="2" t="str">
        <f>"雜費"</f>
        <v>雜費</v>
      </c>
    </row>
    <row r="313" spans="1:2" ht="14.25" customHeight="1">
      <c r="A313" s="2" t="str">
        <f>"813206"</f>
        <v>813206</v>
      </c>
      <c r="B313" s="2" t="str">
        <f>"燃料費"</f>
        <v>燃料費</v>
      </c>
    </row>
    <row r="314" spans="1:2" ht="14.25" customHeight="1">
      <c r="A314" s="2" t="str">
        <f>"813207"</f>
        <v>813207</v>
      </c>
      <c r="B314" s="2" t="str">
        <f>"出口費用"</f>
        <v>出口費用</v>
      </c>
    </row>
    <row r="315" spans="1:2" ht="14.25" customHeight="1">
      <c r="A315" s="2" t="str">
        <f>"813208"</f>
        <v>813208</v>
      </c>
      <c r="B315" s="2" t="str">
        <f>"檢驗費"</f>
        <v>檢驗費</v>
      </c>
    </row>
    <row r="316" spans="1:2" ht="14.25" customHeight="1">
      <c r="A316" s="2" t="str">
        <f>"813209"</f>
        <v>813209</v>
      </c>
      <c r="B316" s="2" t="str">
        <f>"雜項購置"</f>
        <v>雜項購置</v>
      </c>
    </row>
    <row r="317" spans="1:2" ht="14.25" customHeight="1">
      <c r="A317" s="2" t="str">
        <f>"813211"</f>
        <v>813211</v>
      </c>
      <c r="B317" s="2" t="str">
        <f>"勞務費"</f>
        <v>勞務費</v>
      </c>
    </row>
    <row r="318" spans="1:2" ht="14.25" customHeight="1">
      <c r="A318" s="2" t="str">
        <f>"813212"</f>
        <v>813212</v>
      </c>
      <c r="B318" s="2" t="str">
        <f>"加班費"</f>
        <v>加班費</v>
      </c>
    </row>
    <row r="319" spans="1:2" ht="14.25" customHeight="1">
      <c r="A319" s="2" t="str">
        <f>"813213"</f>
        <v>813213</v>
      </c>
      <c r="B319" s="2" t="str">
        <f>"資遣費"</f>
        <v>資遣費</v>
      </c>
    </row>
    <row r="320" spans="1:2" ht="14.25" customHeight="1">
      <c r="A320" s="2" t="str">
        <f>"813214"</f>
        <v>813214</v>
      </c>
      <c r="B320" s="2" t="str">
        <f>"消耗品"</f>
        <v>消耗品</v>
      </c>
    </row>
    <row r="321" spans="1:2" ht="14.25" customHeight="1">
      <c r="A321" s="2" t="str">
        <f>"813215"</f>
        <v>813215</v>
      </c>
      <c r="B321" s="2" t="str">
        <f>"加工費"</f>
        <v>加工費</v>
      </c>
    </row>
    <row r="322" spans="1:2" ht="14.25" customHeight="1">
      <c r="A322" s="2" t="str">
        <f>"813216"</f>
        <v>813216</v>
      </c>
      <c r="B322" s="2" t="str">
        <f>"退休金"</f>
        <v>退休金</v>
      </c>
    </row>
    <row r="323" spans="1:2" ht="14.25" customHeight="1">
      <c r="A323" s="2" t="str">
        <f>"813220"</f>
        <v>813220</v>
      </c>
      <c r="B323" s="2" t="str">
        <f>"其他費用_"</f>
        <v>其他費用_</v>
      </c>
    </row>
    <row r="324" spans="1:2" ht="14.25" customHeight="1">
      <c r="A324" s="2" t="str">
        <f>"91"</f>
        <v>91</v>
      </c>
      <c r="B324" s="2" t="str">
        <f>"營業外收入"</f>
        <v>營業外收入</v>
      </c>
    </row>
    <row r="325" spans="1:2" ht="14.25" customHeight="1">
      <c r="A325" s="2" t="str">
        <f>"9101"</f>
        <v>9101</v>
      </c>
      <c r="B325" s="2" t="str">
        <f>"獎金收入"</f>
        <v>獎金收入</v>
      </c>
    </row>
    <row r="326" spans="1:2" ht="14.25" customHeight="1">
      <c r="A326" s="2" t="str">
        <f>"9102"</f>
        <v>9102</v>
      </c>
      <c r="B326" s="2" t="str">
        <f>"投資收入"</f>
        <v>投資收入</v>
      </c>
    </row>
    <row r="327" spans="1:2" ht="14.25" customHeight="1">
      <c r="A327" s="2" t="str">
        <f>"9135"</f>
        <v>9135</v>
      </c>
      <c r="B327" s="2" t="str">
        <f>"一般股息及紅利"</f>
        <v>一般股息及紅利</v>
      </c>
    </row>
    <row r="328" spans="1:2" ht="14.25" customHeight="1">
      <c r="A328" s="2" t="str">
        <f>"9138"</f>
        <v>9138</v>
      </c>
      <c r="B328" s="2" t="str">
        <f>"利息收益"</f>
        <v>利息收益</v>
      </c>
    </row>
    <row r="329" spans="1:2" ht="14.25" customHeight="1">
      <c r="A329" s="2" t="str">
        <f>"9139"</f>
        <v>9139</v>
      </c>
      <c r="B329" s="2" t="str">
        <f>"租賃收入"</f>
        <v>租賃收入</v>
      </c>
    </row>
    <row r="330" spans="1:2" ht="14.25" customHeight="1">
      <c r="A330" s="2" t="str">
        <f>"9140"</f>
        <v>9140</v>
      </c>
      <c r="B330" s="2" t="str">
        <f>"財產交易增益"</f>
        <v>財產交易增益</v>
      </c>
    </row>
    <row r="331" spans="1:2" ht="14.25" customHeight="1">
      <c r="A331" s="2" t="str">
        <f>"9141"</f>
        <v>9141</v>
      </c>
      <c r="B331" s="2" t="str">
        <f>"佣金收入"</f>
        <v>佣金收入</v>
      </c>
    </row>
    <row r="332" spans="1:2" ht="14.25" customHeight="1">
      <c r="A332" s="2" t="str">
        <f>"9142"</f>
        <v>9142</v>
      </c>
      <c r="B332" s="2" t="str">
        <f>"商品盤盈"</f>
        <v>商品盤盈</v>
      </c>
    </row>
    <row r="333" spans="1:2" ht="14.25" customHeight="1">
      <c r="A333" s="2" t="str">
        <f>"9143"</f>
        <v>9143</v>
      </c>
      <c r="B333" s="2" t="str">
        <f>"兌換盈餘"</f>
        <v>兌換盈餘</v>
      </c>
    </row>
    <row r="334" spans="1:2" ht="14.25" customHeight="1">
      <c r="A334" s="2" t="str">
        <f>"9144"</f>
        <v>9144</v>
      </c>
      <c r="B334" s="2" t="str">
        <f>"其他收入"</f>
        <v>其他收入</v>
      </c>
    </row>
    <row r="335" spans="1:2" ht="14.25" customHeight="1">
      <c r="A335" s="2" t="str">
        <f>"9144A"</f>
        <v>9144A</v>
      </c>
      <c r="B335" s="2" t="str">
        <f>"退稅收入"</f>
        <v>退稅收入</v>
      </c>
    </row>
    <row r="336" spans="1:2" ht="14.25" customHeight="1">
      <c r="A336" s="2" t="str">
        <f>"9144B"</f>
        <v>9144B</v>
      </c>
      <c r="B336" s="2" t="str">
        <f>"其他收入"</f>
        <v>其他收入</v>
      </c>
    </row>
    <row r="337" spans="1:2" ht="14.25" customHeight="1">
      <c r="A337" s="2" t="str">
        <f>"9144C"</f>
        <v>9144C</v>
      </c>
      <c r="B337" s="2" t="str">
        <f>"報廢利益"</f>
        <v>報廢利益</v>
      </c>
    </row>
    <row r="338" spans="1:2" ht="14.25" customHeight="1">
      <c r="A338" s="2" t="str">
        <f>"92"</f>
        <v>92</v>
      </c>
      <c r="B338" s="2" t="str">
        <f>"營業外支出"</f>
        <v>營業外支出</v>
      </c>
    </row>
    <row r="339" spans="1:2" ht="14.25" customHeight="1">
      <c r="A339" s="2" t="str">
        <f>"9246"</f>
        <v>9246</v>
      </c>
      <c r="B339" s="2" t="str">
        <f>"利息支出"</f>
        <v>利息支出</v>
      </c>
    </row>
    <row r="340" spans="1:2" ht="14.25" customHeight="1">
      <c r="A340" s="2" t="str">
        <f>"9247"</f>
        <v>9247</v>
      </c>
      <c r="B340" s="2" t="str">
        <f>"投資損失"</f>
        <v>投資損失</v>
      </c>
    </row>
    <row r="341" spans="1:2" ht="14.25" customHeight="1">
      <c r="A341" s="2" t="str">
        <f>"9248"</f>
        <v>9248</v>
      </c>
      <c r="B341" s="2" t="str">
        <f>"財產交易損失"</f>
        <v>財產交易損失</v>
      </c>
    </row>
    <row r="342" spans="1:2" ht="14.25" customHeight="1">
      <c r="A342" s="2" t="str">
        <f>"9249"</f>
        <v>9249</v>
      </c>
      <c r="B342" s="2" t="str">
        <f>"災害損失"</f>
        <v>災害損失</v>
      </c>
    </row>
    <row r="343" spans="1:2" ht="14.25" customHeight="1">
      <c r="A343" s="2" t="str">
        <f>"9250"</f>
        <v>9250</v>
      </c>
      <c r="B343" s="2" t="str">
        <f>"商品盤損"</f>
        <v>商品盤損</v>
      </c>
    </row>
    <row r="344" spans="1:2" ht="14.25" customHeight="1">
      <c r="A344" s="2" t="str">
        <f>"9251"</f>
        <v>9251</v>
      </c>
      <c r="B344" s="2" t="str">
        <f>"兌換損失"</f>
        <v>兌換損失</v>
      </c>
    </row>
    <row r="345" spans="1:2" ht="14.25" customHeight="1">
      <c r="A345" s="2" t="str">
        <f>"9252"</f>
        <v>9252</v>
      </c>
      <c r="B345" s="2" t="str">
        <f>"其他損失"</f>
        <v>其他損失</v>
      </c>
    </row>
    <row r="346" spans="1:2" ht="14.25" customHeight="1">
      <c r="A346" s="2" t="str">
        <f>"9252A"</f>
        <v>9252A</v>
      </c>
      <c r="B346" s="2" t="str">
        <f>"報廢損失"</f>
        <v>報廢損失</v>
      </c>
    </row>
    <row r="347" spans="1:2" ht="14.25" customHeight="1">
      <c r="A347" s="2" t="str">
        <f>"ZZZZ"</f>
        <v>ZZZZ</v>
      </c>
      <c r="B347" s="2" t="str">
        <f>"(內部管制)"</f>
        <v>(內部管制)</v>
      </c>
    </row>
    <row r="348" spans="1:2" ht="14.25" customHeight="1">
      <c r="A348" s="2" t="str">
        <f>"ZZZZ01"</f>
        <v>ZZZZ01</v>
      </c>
      <c r="B348" s="2" t="str">
        <f>"商品調整(內部管制)"</f>
        <v>商品調整(內部管制)</v>
      </c>
    </row>
    <row r="349" spans="1:2" ht="14.25" customHeight="1">
      <c r="A349" s="2" t="str">
        <f>"ZZZZ02"</f>
        <v>ZZZZ02</v>
      </c>
      <c r="B349" s="2" t="str">
        <f>"製成品調整(內部管制)"</f>
        <v>製成品調整(內部管制)</v>
      </c>
    </row>
    <row r="350" spans="1:2" ht="14.25" customHeight="1">
      <c r="A350" s="2" t="str">
        <f>"ZZZZ03"</f>
        <v>ZZZZ03</v>
      </c>
      <c r="B350" s="2" t="str">
        <f>"半成品調整(內部管制)"</f>
        <v>半成品調整(內部管制)</v>
      </c>
    </row>
    <row r="351" spans="1:2" ht="14.25" customHeight="1">
      <c r="A351" s="2" t="str">
        <f>"ZZZZ04"</f>
        <v>ZZZZ04</v>
      </c>
      <c r="B351" s="2" t="str">
        <f>"原料調整(內部管制)"</f>
        <v>原料調整(內部管制)</v>
      </c>
    </row>
    <row r="352" spans="1:2" ht="14.25" customHeight="1">
      <c r="A352" s="2" t="str">
        <f>"ZZZZ05"</f>
        <v>ZZZZ05</v>
      </c>
      <c r="B352" s="2" t="str">
        <f>"物料調整(內部管制)"</f>
        <v>物料調整(內部管制)</v>
      </c>
    </row>
    <row r="353" spans="1:2" ht="14.25" customHeight="1">
      <c r="A353" s="2" t="str">
        <f>"ZZZZ06"</f>
        <v>ZZZZ06</v>
      </c>
      <c r="B353" s="2" t="str">
        <f>"其它調整(內部管制)"</f>
        <v>其它調整(內部管制)</v>
      </c>
    </row>
  </sheetData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256" orientation="portrait" horizontalDpi="180" verticalDpi="180" r:id="rId1"/>
  <headerFooter alignWithMargins="0"/>
  <rowBreaks count="6" manualBreakCount="6">
    <brk id="98" max="65535" man="1"/>
    <brk id="147" max="65535" man="1"/>
    <brk id="196" max="65535" man="1"/>
    <brk id="245" max="65535" man="1"/>
    <brk id="294" max="65535" man="1"/>
    <brk id="343" max="65535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Default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2020-09-03T01:53:49Z</dcterms:created>
  <dcterms:modified xsi:type="dcterms:W3CDTF">2020-09-03T03:06:22Z</dcterms:modified>
</cp:coreProperties>
</file>