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engelen\OneDrive - Stichting Deltares\PhD\Synth_Delta\delta_aquifer\data\"/>
    </mc:Choice>
  </mc:AlternateContent>
  <xr:revisionPtr revIDLastSave="2558" documentId="10_ncr:100000_{2E746554-31FE-4657-A800-89661B694791}" xr6:coauthVersionLast="41" xr6:coauthVersionMax="41" xr10:uidLastSave="{83449C52-3C31-4E76-A664-ADF84A13C63B}"/>
  <bookViews>
    <workbookView xWindow="-120" yWindow="-120" windowWidth="27645" windowHeight="16440" activeTab="4" xr2:uid="{30BFF025-641A-48C0-8EBD-49846763B0B0}"/>
  </bookViews>
  <sheets>
    <sheet name="Geometry_Raw" sheetId="8" r:id="rId1"/>
    <sheet name="Lithology_Raw" sheetId="6" r:id="rId2"/>
    <sheet name="BC_Raw" sheetId="7" r:id="rId3"/>
    <sheet name="Hydrogeology_Raw" sheetId="5" r:id="rId4"/>
    <sheet name="References"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1" i="8" l="1"/>
  <c r="R26" i="5" l="1"/>
  <c r="Q26" i="5"/>
  <c r="R18" i="5"/>
  <c r="Q18" i="5"/>
  <c r="R14" i="5"/>
  <c r="Q14" i="5"/>
  <c r="R4" i="5"/>
  <c r="Q4" i="5"/>
  <c r="E34" i="5" l="1"/>
  <c r="F34" i="5"/>
  <c r="F29" i="5"/>
  <c r="E29" i="5"/>
  <c r="F16" i="5"/>
  <c r="E16" i="5"/>
  <c r="F21" i="5"/>
  <c r="E21" i="5"/>
  <c r="E25" i="5"/>
  <c r="F25" i="5"/>
  <c r="O14" i="8" l="1"/>
  <c r="J29" i="8" l="1"/>
  <c r="J30" i="8"/>
  <c r="J31" i="8"/>
  <c r="J32" i="8"/>
  <c r="J33" i="8"/>
  <c r="J16" i="8"/>
  <c r="E16" i="8" l="1"/>
  <c r="F16" i="8" s="1"/>
  <c r="G16" i="8"/>
  <c r="I16" i="8"/>
  <c r="J28" i="8"/>
  <c r="J17" i="8"/>
  <c r="J18" i="8"/>
  <c r="J19" i="8"/>
  <c r="J20" i="8"/>
  <c r="J21" i="8"/>
  <c r="J22" i="8"/>
  <c r="J23" i="8"/>
  <c r="J24" i="8"/>
  <c r="J25" i="8"/>
  <c r="J26" i="8"/>
  <c r="J27" i="8"/>
  <c r="J15" i="8"/>
  <c r="J14" i="8"/>
  <c r="J13" i="8"/>
  <c r="J4" i="8"/>
  <c r="J5" i="8"/>
  <c r="J6" i="8"/>
  <c r="J7" i="8"/>
  <c r="J8" i="8"/>
  <c r="J9" i="8"/>
  <c r="J10" i="8"/>
  <c r="J11" i="8"/>
  <c r="J12" i="8"/>
  <c r="J3" i="8"/>
  <c r="G4" i="8" l="1"/>
  <c r="G7" i="8"/>
  <c r="G8" i="8"/>
  <c r="G11" i="8"/>
  <c r="G12" i="8"/>
  <c r="G17" i="8"/>
  <c r="G18" i="8"/>
  <c r="G20" i="8"/>
  <c r="G21" i="8"/>
  <c r="G22" i="8"/>
  <c r="G24" i="8"/>
  <c r="G25" i="8"/>
  <c r="G26" i="8"/>
  <c r="G28" i="8"/>
  <c r="G29" i="8"/>
  <c r="G32" i="8"/>
  <c r="G33" i="8"/>
  <c r="G3" i="8"/>
  <c r="F7" i="8"/>
  <c r="F11" i="8"/>
  <c r="F17" i="8"/>
  <c r="F20" i="8"/>
  <c r="F21" i="8"/>
  <c r="F24" i="8"/>
  <c r="F25" i="8"/>
  <c r="F28" i="8"/>
  <c r="F29" i="8"/>
  <c r="F32" i="8"/>
  <c r="F33" i="8"/>
  <c r="E4" i="8"/>
  <c r="F4" i="8" s="1"/>
  <c r="E5" i="8"/>
  <c r="G5" i="8" s="1"/>
  <c r="E6" i="8"/>
  <c r="G6" i="8" s="1"/>
  <c r="E7" i="8"/>
  <c r="E8" i="8"/>
  <c r="F8" i="8" s="1"/>
  <c r="E9" i="8"/>
  <c r="G9" i="8" s="1"/>
  <c r="E10" i="8"/>
  <c r="G10" i="8" s="1"/>
  <c r="E11" i="8"/>
  <c r="E12" i="8"/>
  <c r="F12" i="8" s="1"/>
  <c r="E13" i="8"/>
  <c r="G13" i="8" s="1"/>
  <c r="E14" i="8"/>
  <c r="G14" i="8" s="1"/>
  <c r="E15" i="8"/>
  <c r="G15" i="8" s="1"/>
  <c r="E17" i="8"/>
  <c r="E18" i="8"/>
  <c r="F18" i="8" s="1"/>
  <c r="E19" i="8"/>
  <c r="G19" i="8" s="1"/>
  <c r="E20" i="8"/>
  <c r="E21" i="8"/>
  <c r="E22" i="8"/>
  <c r="F22" i="8" s="1"/>
  <c r="E23" i="8"/>
  <c r="G23" i="8" s="1"/>
  <c r="E24" i="8"/>
  <c r="E25" i="8"/>
  <c r="E26" i="8"/>
  <c r="F26" i="8" s="1"/>
  <c r="E27" i="8"/>
  <c r="G27" i="8" s="1"/>
  <c r="E28" i="8"/>
  <c r="E29" i="8"/>
  <c r="E30" i="8"/>
  <c r="F30" i="8" s="1"/>
  <c r="E31" i="8"/>
  <c r="G31" i="8" s="1"/>
  <c r="E32" i="8"/>
  <c r="E33" i="8"/>
  <c r="E3" i="8"/>
  <c r="F3" i="8" s="1"/>
  <c r="G30" i="8" l="1"/>
  <c r="F14" i="8"/>
  <c r="F10" i="8"/>
  <c r="F6" i="8"/>
  <c r="F31" i="8"/>
  <c r="F27" i="8"/>
  <c r="F23" i="8"/>
  <c r="F19" i="8"/>
  <c r="F13" i="8"/>
  <c r="F9" i="8"/>
  <c r="F5" i="8"/>
  <c r="F15" i="8"/>
  <c r="O5" i="8"/>
  <c r="O6" i="8"/>
  <c r="O8" i="8"/>
  <c r="O9" i="8"/>
  <c r="O10" i="8"/>
  <c r="O11" i="8"/>
  <c r="O13" i="8"/>
  <c r="O15" i="8"/>
  <c r="O16" i="8"/>
  <c r="O17" i="8"/>
  <c r="O18" i="8"/>
  <c r="O20" i="8"/>
  <c r="O21" i="8"/>
  <c r="O23" i="8"/>
  <c r="O24" i="8"/>
  <c r="O25" i="8"/>
  <c r="O26" i="8"/>
  <c r="O27" i="8"/>
  <c r="O28" i="8"/>
  <c r="O4" i="8"/>
  <c r="M19" i="8"/>
  <c r="O19" i="8" s="1"/>
  <c r="H19" i="7"/>
  <c r="C32" i="7"/>
  <c r="C31" i="7"/>
  <c r="C11" i="7"/>
  <c r="N6" i="5" l="1"/>
  <c r="M6" i="5"/>
  <c r="N20" i="5" l="1"/>
  <c r="M20" i="5"/>
  <c r="C13" i="5" l="1"/>
  <c r="N35" i="5" l="1"/>
  <c r="F22" i="5" l="1"/>
  <c r="D26" i="5" l="1"/>
  <c r="C26" i="5" l="1"/>
  <c r="N38" i="5" l="1"/>
  <c r="M38" i="5"/>
  <c r="N37" i="5"/>
  <c r="M37" i="5"/>
  <c r="N21" i="5"/>
  <c r="M21" i="5"/>
  <c r="D35" i="5" l="1"/>
  <c r="C35" i="5"/>
  <c r="C34" i="5"/>
  <c r="D34" i="5"/>
  <c r="N33" i="5"/>
  <c r="M33" i="5"/>
  <c r="D33" i="5"/>
  <c r="C33" i="5"/>
  <c r="O32" i="5"/>
  <c r="P32" i="5"/>
  <c r="N32" i="5"/>
  <c r="M32" i="5"/>
  <c r="N31" i="5"/>
  <c r="M31" i="5"/>
  <c r="D31" i="5"/>
  <c r="C31" i="5"/>
  <c r="N30" i="5" l="1"/>
  <c r="M30" i="5"/>
  <c r="N29" i="5"/>
  <c r="N28" i="5"/>
  <c r="M28" i="5"/>
  <c r="F28" i="5"/>
  <c r="E28" i="5"/>
  <c r="C28" i="5"/>
  <c r="D28" i="5"/>
  <c r="F27" i="5"/>
  <c r="E27" i="5"/>
  <c r="D27" i="5"/>
  <c r="C27" i="5"/>
  <c r="C23" i="5"/>
  <c r="D23" i="5"/>
  <c r="F23" i="5"/>
  <c r="E23" i="5"/>
  <c r="N14" i="5"/>
  <c r="N4" i="5"/>
  <c r="F12" i="5"/>
  <c r="D10" i="5"/>
  <c r="D12" i="5"/>
  <c r="D13" i="5"/>
  <c r="E22" i="5"/>
  <c r="D22" i="5"/>
  <c r="C10" i="5"/>
  <c r="D18" i="5" l="1"/>
  <c r="C18" i="5"/>
  <c r="C17" i="5"/>
  <c r="D17" i="5"/>
  <c r="M14" i="5"/>
  <c r="D14" i="5"/>
  <c r="C14" i="5"/>
  <c r="E12" i="5"/>
  <c r="C12" i="5"/>
  <c r="F10" i="5"/>
  <c r="E10" i="5"/>
  <c r="M4" i="5"/>
  <c r="F7" i="5"/>
  <c r="E7" i="5"/>
  <c r="C7" i="5"/>
  <c r="N8" i="5"/>
  <c r="M8" i="5"/>
  <c r="D7" i="5"/>
  <c r="D6" i="5"/>
  <c r="C6" i="5"/>
  <c r="F5" i="5"/>
  <c r="E5" i="5"/>
  <c r="D5" i="5"/>
  <c r="C5" i="5"/>
</calcChain>
</file>

<file path=xl/sharedStrings.xml><?xml version="1.0" encoding="utf-8"?>
<sst xmlns="http://schemas.openxmlformats.org/spreadsheetml/2006/main" count="1132" uniqueCount="357">
  <si>
    <t>Delta</t>
  </si>
  <si>
    <t>Country</t>
  </si>
  <si>
    <t>Kelantan</t>
  </si>
  <si>
    <t>Malaysia</t>
  </si>
  <si>
    <t>-</t>
  </si>
  <si>
    <t>Chao Praya</t>
  </si>
  <si>
    <t>Thailand</t>
  </si>
  <si>
    <t>Rhine-Meuse</t>
  </si>
  <si>
    <t>The Netherlands</t>
  </si>
  <si>
    <t>Pearl</t>
  </si>
  <si>
    <t>China</t>
  </si>
  <si>
    <t>Yangtze</t>
  </si>
  <si>
    <t>Red River</t>
  </si>
  <si>
    <t>Vietnam</t>
  </si>
  <si>
    <t>Ganges-Brahmaputra</t>
  </si>
  <si>
    <t>Bangladesh</t>
  </si>
  <si>
    <t>Yellow River</t>
  </si>
  <si>
    <t>(Han et al., 2011)</t>
  </si>
  <si>
    <t>Rhone</t>
  </si>
  <si>
    <t>France</t>
  </si>
  <si>
    <t>(de Montety et al., 2008)</t>
  </si>
  <si>
    <t>Po</t>
  </si>
  <si>
    <t>Italy</t>
  </si>
  <si>
    <t>Burdekin</t>
  </si>
  <si>
    <t>Australia</t>
  </si>
  <si>
    <t>Fraser</t>
  </si>
  <si>
    <t>Canada</t>
  </si>
  <si>
    <t>Llobregat</t>
  </si>
  <si>
    <t>Spain</t>
  </si>
  <si>
    <t>Indonesia</t>
  </si>
  <si>
    <t>Doñana</t>
  </si>
  <si>
    <t>(Manzano et al., 2001)</t>
  </si>
  <si>
    <t>Mahanadi</t>
  </si>
  <si>
    <t>India</t>
  </si>
  <si>
    <t>Vistula</t>
  </si>
  <si>
    <t>Poland</t>
  </si>
  <si>
    <t>(Kozerski, 1983)</t>
  </si>
  <si>
    <t>Mekong</t>
  </si>
  <si>
    <t>Tokar</t>
  </si>
  <si>
    <t>Sudan</t>
  </si>
  <si>
    <t>Ebro</t>
  </si>
  <si>
    <t>Shatt-El Arab</t>
  </si>
  <si>
    <t>Iraq</t>
  </si>
  <si>
    <t>Mississippi</t>
  </si>
  <si>
    <t>United States</t>
  </si>
  <si>
    <t>Saloum</t>
  </si>
  <si>
    <t>Senegal</t>
  </si>
  <si>
    <t>(Faye et al., 2005)</t>
  </si>
  <si>
    <t>Nile</t>
  </si>
  <si>
    <t>Egypt</t>
  </si>
  <si>
    <t>(Pennington et al., 2017; Stanley and Warne, 1993)</t>
  </si>
  <si>
    <t>(Sinsakul, 2000)</t>
  </si>
  <si>
    <t>(Tanabe et al., 2006)</t>
  </si>
  <si>
    <t>(Saito et al., 2001)</t>
  </si>
  <si>
    <t>(Fanget et al., 2016)</t>
  </si>
  <si>
    <t>(Zong et al., 2009)</t>
  </si>
  <si>
    <t>(Makowska, 1991)</t>
  </si>
  <si>
    <t>(Ausseil-Badie et al., 1991)</t>
  </si>
  <si>
    <t>(Cooke, 1985)</t>
  </si>
  <si>
    <t>Remarks</t>
  </si>
  <si>
    <t>3500-6000 BP</t>
  </si>
  <si>
    <t>Krishna</t>
  </si>
  <si>
    <t>(Prabaharan et al., 2018)</t>
  </si>
  <si>
    <t>Godovari</t>
  </si>
  <si>
    <t>(Hehanussa, 1980)</t>
  </si>
  <si>
    <t>(de Haas et al., 2018)</t>
  </si>
  <si>
    <t>(Shamsudduha and Uddin, 2007)</t>
  </si>
  <si>
    <t>Islam said 15% extent</t>
  </si>
  <si>
    <t>Checken of apex in Plaatje paper staat, anders wordt dit minder.</t>
  </si>
  <si>
    <t>Apex at Kaifeng, roughly 600 km upstream, shoreline 120 km landinwards.</t>
  </si>
  <si>
    <t>References</t>
  </si>
  <si>
    <t>(Kagabu et al., 2010)</t>
  </si>
  <si>
    <t>(Sanford and Buapeng, 1996; Yamanaka et al., 2011)</t>
  </si>
  <si>
    <t>(Larsen et al., 2017; Winkel et al., 2011)</t>
  </si>
  <si>
    <t>(Pennington et al., 2017; Sestini, 1989)</t>
  </si>
  <si>
    <t>(Kozerski, 1983; Makowska, 1991)</t>
  </si>
  <si>
    <t>(Wang and Jiao, 2012; Zong et al., 2012)</t>
  </si>
  <si>
    <t>(Teatini et al., 2011)</t>
  </si>
  <si>
    <t>Nakdong</t>
  </si>
  <si>
    <t>(Yoo et al., 2017)</t>
  </si>
  <si>
    <t>South-Korea</t>
  </si>
  <si>
    <t>DINOLOKET</t>
  </si>
  <si>
    <t>(Kumar et al., 2011)</t>
  </si>
  <si>
    <t>(Griffith, 2003)</t>
  </si>
  <si>
    <t>Niger</t>
  </si>
  <si>
    <t>Nigeria</t>
  </si>
  <si>
    <t>(Minderhoud, 2018)</t>
  </si>
  <si>
    <t>(Larsen et al., 2017)</t>
  </si>
  <si>
    <t>(Custodio, 2001)</t>
  </si>
  <si>
    <t>Clay content increases a lot in coastal direction</t>
  </si>
  <si>
    <t>Even hypersaline water due to evaporation excess possible</t>
  </si>
  <si>
    <t>Named Chao Phya?</t>
  </si>
  <si>
    <t>Gupta has higher values than Giao et al.</t>
  </si>
  <si>
    <t>conf/unconf</t>
  </si>
  <si>
    <t>Unconfined</t>
  </si>
  <si>
    <t>Confined</t>
  </si>
  <si>
    <t>Recharge_min</t>
  </si>
  <si>
    <t>Recharge_max</t>
  </si>
  <si>
    <t>(Fass et al., 2007) (McMahon, 2000)</t>
  </si>
  <si>
    <t>(Michael &amp; Voss, 2009)</t>
  </si>
  <si>
    <t>Only top aquifer</t>
  </si>
  <si>
    <t>(Colombani et al., 2016)</t>
  </si>
  <si>
    <t>Complete aquifer system, 1 km depth</t>
  </si>
  <si>
    <t>NaN</t>
  </si>
  <si>
    <t>(McMahon et al., 2000)</t>
  </si>
  <si>
    <t>(Narayan et al., 2007)</t>
  </si>
  <si>
    <t>(Giao et al., 1998)</t>
  </si>
  <si>
    <t>(Das Gupta, 1985)</t>
  </si>
  <si>
    <t>(Kwong et al., 2016)</t>
  </si>
  <si>
    <t>Krishna/Godovari</t>
  </si>
  <si>
    <t>(Bobba Gosh, ?)</t>
  </si>
  <si>
    <t>(Samsudin et al., 1997; 2008)</t>
  </si>
  <si>
    <t>Jakarta</t>
  </si>
  <si>
    <t>(Onodera et al., 2009)</t>
  </si>
  <si>
    <t>(Hussein, 1986)</t>
  </si>
  <si>
    <t>Transmissivities, converted with a depth of 250m from Zamrsky 2017</t>
  </si>
  <si>
    <t>Large scale, 1km depth</t>
  </si>
  <si>
    <t>USA</t>
  </si>
  <si>
    <t>Very large scale, 5km depth</t>
  </si>
  <si>
    <t>(Thompson et al., 2007)</t>
  </si>
  <si>
    <t>(Cao et al., 2016)</t>
  </si>
  <si>
    <t>(Amajor, 1991)</t>
  </si>
  <si>
    <t>Estimated by assuming aquifer thickness of 50 m</t>
  </si>
  <si>
    <t>Depth of investigation (m)</t>
  </si>
  <si>
    <t>&lt;200</t>
  </si>
  <si>
    <t>(Shi et al. 2012, Xue et al., 2008)</t>
  </si>
  <si>
    <t>Cross-section Shi 2012 is transversal direction of delta, shows ellipse concept. 5 aquitards in Xue paper, but we don't count confining layer as aquitard.</t>
  </si>
  <si>
    <t>(Chen et al., 2014)</t>
  </si>
  <si>
    <t>Values first aquifer only reported</t>
  </si>
  <si>
    <t>(Yang, 2013)</t>
  </si>
  <si>
    <t>(Minderhoud et al., 2017)</t>
  </si>
  <si>
    <t>(van Pham et al., 2019)</t>
  </si>
  <si>
    <t>n_min</t>
  </si>
  <si>
    <t>n_max</t>
  </si>
  <si>
    <t>Netherlands</t>
  </si>
  <si>
    <t>(Oude Essink et al., 2010)</t>
  </si>
  <si>
    <t>Nile Delta</t>
  </si>
  <si>
    <t>(van Engelen et al., 2019)</t>
  </si>
  <si>
    <t>(Iribar et al., 1997)</t>
  </si>
  <si>
    <t>(Bridger &amp; Allen, 2006)</t>
  </si>
  <si>
    <t>Regional Model, No calibration</t>
  </si>
  <si>
    <t>(Ricketts, 1998)</t>
  </si>
  <si>
    <t>Guadalfeo</t>
  </si>
  <si>
    <t>(Duque, 2019)</t>
  </si>
  <si>
    <t>Kaqf_min</t>
  </si>
  <si>
    <t>(m/d)</t>
  </si>
  <si>
    <t>Kaqf_max</t>
  </si>
  <si>
    <t>Kaqt_min</t>
  </si>
  <si>
    <t>Kaqt_max</t>
  </si>
  <si>
    <t>Kh/Kv</t>
  </si>
  <si>
    <t>Volta</t>
  </si>
  <si>
    <t>Ghana</t>
  </si>
  <si>
    <t>(Akpati, B., 1978)</t>
  </si>
  <si>
    <t>(Yidana &amp; Chegbeleh, 2013)</t>
  </si>
  <si>
    <t>Only top aquifer, Calibrated</t>
  </si>
  <si>
    <t>Crystalline basement quite permeable</t>
  </si>
  <si>
    <t>(Szpakowski et al., 2007)</t>
  </si>
  <si>
    <t>Area infiltration zones = 90 km2</t>
  </si>
  <si>
    <t>(Jaworska-Szulc, 2009)</t>
  </si>
  <si>
    <t>(d/m)</t>
  </si>
  <si>
    <t>Calibrated, Regional model. Range for lakebed hydraulic conductivity given 1.2e-4 - 2.3e-3 m/d</t>
  </si>
  <si>
    <t>Rivbed resist min</t>
  </si>
  <si>
    <t>Rivbed resist max</t>
  </si>
  <si>
    <t>Ayerwady (Irrawaddy)</t>
  </si>
  <si>
    <t>Myanmar</t>
  </si>
  <si>
    <t>(IWMI &amp; ARK, 2017)</t>
  </si>
  <si>
    <t>(m)</t>
  </si>
  <si>
    <t>1 50m thick shallow aquifer, below just 2 km of sand with clay intercalations</t>
  </si>
  <si>
    <t>Jassim &amp; Goff, 2006</t>
  </si>
  <si>
    <t>Shatt El Arab</t>
  </si>
  <si>
    <t>Iraq/Kuwait</t>
  </si>
  <si>
    <t>(Jassim &amp; Goff, 2006)</t>
  </si>
  <si>
    <t>(UN-SCW &amp; BGR, 2013)</t>
  </si>
  <si>
    <t>Indus</t>
  </si>
  <si>
    <t>Pakistan</t>
  </si>
  <si>
    <t>(Naseem et al., 2018)</t>
  </si>
  <si>
    <t>Focus on shallow aquifer in the area. In depressions water can be 100 g/l (evaporation). Salt water found near fault zones in Dibdibba formation.</t>
  </si>
  <si>
    <t>(Lindsay et al., 1991; Bonsor et al., 2017)</t>
  </si>
  <si>
    <t>Transboundary data integration project.</t>
  </si>
  <si>
    <t>Transboundary data integration project. Recharge calculated based on reported empirical formula in paper. Data more representative for shallow aquifers &lt;150m</t>
  </si>
  <si>
    <t>(Bonsor et al., 2017)</t>
  </si>
  <si>
    <t>(Clift et al., 2008)</t>
  </si>
  <si>
    <t>Large extent salinized, only small part of that likely caused by marine trangression (Bonsor et al. 2018)</t>
  </si>
  <si>
    <t>(Tamura et al., 2009)</t>
  </si>
  <si>
    <t>Based on pumping tests and model calibration</t>
  </si>
  <si>
    <t>(Sahoo &amp; Jha, 2017)</t>
  </si>
  <si>
    <t>Calibrated Regional Model with different zones. To convert transmissivities we used the aquifer thickness map in Vasquez, 2006. Ignored lowest value of 3e-03 as probably a boundary effect at play here. K upper range is crazy: 1000 m/d?!??!? Probably a sign of severe parameter insensitivity for certain areas</t>
  </si>
  <si>
    <t>Aquifers consist of very fine sands up to coarse sands. Silt assigned to Kaqt_max</t>
  </si>
  <si>
    <t>Cause variability K</t>
  </si>
  <si>
    <t>Source K</t>
  </si>
  <si>
    <t>Literature</t>
  </si>
  <si>
    <t>Calibration</t>
  </si>
  <si>
    <t>Scenarios</t>
  </si>
  <si>
    <t>Lithology</t>
  </si>
  <si>
    <t>Dataset</t>
  </si>
  <si>
    <t>Unspecified</t>
  </si>
  <si>
    <t>Lab</t>
  </si>
  <si>
    <t>Pumping Test</t>
  </si>
  <si>
    <t>Spatial Z</t>
  </si>
  <si>
    <t>Spatial XY</t>
  </si>
  <si>
    <t>Spatial XYZ</t>
  </si>
  <si>
    <t>Spatial XZ</t>
  </si>
  <si>
    <t>Slug test</t>
  </si>
  <si>
    <t>Regional Model, measured K's but only mentioned mearured in "field", not how.</t>
  </si>
  <si>
    <t>Conceptual, lab test is based on grain size distribution</t>
  </si>
  <si>
    <t>Soil hydraulic conductivity only reported; low values, might be interpreted as confining K?</t>
  </si>
  <si>
    <t>South-West part, focus on Dibdibba. Aquifer thicknesses used of 100 Southeast (min) and 500 (north west of crosssection for the max. Maximum recharge for Pleistocene</t>
  </si>
  <si>
    <t>Kaqf with pumping test, Kaqt with lab test</t>
  </si>
  <si>
    <t>Values Michael based on inverse parameter estimation of with regional model of heads, groundwater ages and statistical analysis of logs. Largest variability due to lithology</t>
  </si>
  <si>
    <t>Aqt_explicit</t>
  </si>
  <si>
    <t>Anisotropy_min</t>
  </si>
  <si>
    <t>Anisotropy_max</t>
  </si>
  <si>
    <t>2 aqtds near riv branch</t>
  </si>
  <si>
    <t>10 aqtds in the top 300</t>
  </si>
  <si>
    <t>N_aqt</t>
  </si>
  <si>
    <t>Mud/Total</t>
  </si>
  <si>
    <t>apex taken at Lent</t>
  </si>
  <si>
    <t>(McMahon, 2000)</t>
  </si>
  <si>
    <t>l_conf</t>
  </si>
  <si>
    <t>N_pal</t>
  </si>
  <si>
    <t>Chaotic lithology</t>
  </si>
  <si>
    <t>l_tra</t>
  </si>
  <si>
    <t>t_max</t>
  </si>
  <si>
    <t>(Giosan et al, 2018)</t>
  </si>
  <si>
    <t>Current coastline closest in the Holocene, Pleistocene 125000 BP 50% transgression</t>
  </si>
  <si>
    <t>(Amorosi et al., 2005)</t>
  </si>
  <si>
    <t>70 km apex of coast at Pontelagoscuro (Correggiari et al., 2005)</t>
  </si>
  <si>
    <t>Ref_tra</t>
  </si>
  <si>
    <t>Remarks_tra</t>
  </si>
  <si>
    <t>N_chan</t>
  </si>
  <si>
    <t>(Fielding et al., 2006)</t>
  </si>
  <si>
    <t>(Manzano et al.)</t>
  </si>
  <si>
    <t>s_pal</t>
  </si>
  <si>
    <t>l_sal</t>
  </si>
  <si>
    <t>Remarks_sal</t>
  </si>
  <si>
    <t>Ref_sal</t>
  </si>
  <si>
    <t>(Savenije, 2012)</t>
  </si>
  <si>
    <t>(Goodbred et al., 2000)</t>
  </si>
  <si>
    <t>(Nguyen et al., 2006)</t>
  </si>
  <si>
    <t>Ref_aqt</t>
  </si>
  <si>
    <t>Remarks_aqt</t>
  </si>
  <si>
    <t>Ref_pal</t>
  </si>
  <si>
    <t>Remarks_pal</t>
  </si>
  <si>
    <t>(van Asselen et al., 2017)</t>
  </si>
  <si>
    <t>(Zong et al., 2011)</t>
  </si>
  <si>
    <t>(Winkel et al., 2011)</t>
  </si>
  <si>
    <t>(Ricketts, 2001)</t>
  </si>
  <si>
    <t>L</t>
  </si>
  <si>
    <t>In the east paleochannels found, but how much is in old non-accessible report (Diluca, 1976)</t>
  </si>
  <si>
    <t>(Teatini et al., 2011, Colombani, 2017)</t>
  </si>
  <si>
    <t>(Custodio et al., 2010)</t>
  </si>
  <si>
    <t>Only confining layer, in this way will resemble conceptual figure of Ebro.</t>
  </si>
  <si>
    <t xml:space="preserve">(Prabaharan et al., 2018) </t>
  </si>
  <si>
    <t>l_a</t>
  </si>
  <si>
    <t>l_b</t>
  </si>
  <si>
    <t>H_b</t>
  </si>
  <si>
    <t>H_a/H_b</t>
  </si>
  <si>
    <t>(-)</t>
  </si>
  <si>
    <t>alpha</t>
  </si>
  <si>
    <t>rad</t>
  </si>
  <si>
    <t>beta</t>
  </si>
  <si>
    <t>phi</t>
  </si>
  <si>
    <t>(km)</t>
  </si>
  <si>
    <t>H_a</t>
  </si>
  <si>
    <t>Ref_H</t>
  </si>
  <si>
    <t>L_a</t>
  </si>
  <si>
    <t>L_b</t>
  </si>
  <si>
    <t>gamma</t>
  </si>
  <si>
    <t>z_b</t>
  </si>
  <si>
    <t>pi rad</t>
  </si>
  <si>
    <t>(Sestini, 1989)</t>
  </si>
  <si>
    <t>Location apex unclear</t>
  </si>
  <si>
    <t>Remakrs_H</t>
  </si>
  <si>
    <t>Kaqt_is_vert</t>
  </si>
  <si>
    <t>Offshore. Reported hydraulic conductivities for aquitards referred to Yang, who inversed modeled slug tests and it appears to be a horizontal hydraulic conductivity.</t>
  </si>
  <si>
    <t>Data in supplementary info</t>
  </si>
  <si>
    <t>Next to Donana delta. Marine deposits taken as aquitard, these have anisotropy of 3.</t>
  </si>
  <si>
    <t>Recharge not only natural, also human induced, therefore excluded as upper recharge rate.</t>
  </si>
  <si>
    <t>(m-1)</t>
  </si>
  <si>
    <t>Ss_min</t>
  </si>
  <si>
    <t>Ss_max</t>
  </si>
  <si>
    <t>Calibrated Regional Model, values in supplementary data. For Specific storage excluded the phreatic aquifer.</t>
  </si>
  <si>
    <t>Ref is MSc_Thesis. Research later published in 2015 in Groundwater. Aquitard = Confining layer</t>
  </si>
  <si>
    <t>Range in conductivities calculated from reported transmissivities and dividing these by the minimum thickness for the maximum Kh and vice versa. This report only contains crude estimates. Report on delta starts at page 105, chapter 3.10</t>
  </si>
  <si>
    <t xml:space="preserve">Taken Benin Formation here, weird: decreases in thickness towards the coast. </t>
  </si>
  <si>
    <t>(Viossanges et al., 2017)</t>
  </si>
  <si>
    <r>
      <t xml:space="preserve">Akpati, B. N. (1978). Geologic structure and evolution of the Keta basin, West Africa. </t>
    </r>
    <r>
      <rPr>
        <i/>
        <sz val="11"/>
        <color theme="1"/>
        <rFont val="Calibri"/>
        <family val="2"/>
        <scheme val="minor"/>
      </rPr>
      <t>Bulletin of the Geological Society of America</t>
    </r>
    <r>
      <rPr>
        <sz val="11"/>
        <color theme="1"/>
        <rFont val="Calibri"/>
        <family val="2"/>
        <scheme val="minor"/>
      </rPr>
      <t xml:space="preserve">, </t>
    </r>
    <r>
      <rPr>
        <i/>
        <sz val="11"/>
        <color theme="1"/>
        <rFont val="Calibri"/>
        <family val="2"/>
        <scheme val="minor"/>
      </rPr>
      <t>89</t>
    </r>
    <r>
      <rPr>
        <sz val="11"/>
        <color theme="1"/>
        <rFont val="Calibri"/>
        <family val="2"/>
        <scheme val="minor"/>
      </rPr>
      <t>, 124–132. https://doi.org/10.1130/0016-7606(1979)90&lt;889:GSAEOT&gt;2.0.CO;2</t>
    </r>
  </si>
  <si>
    <r>
      <t xml:space="preserve">Amajor, L. C. (1991). Aquifers in the Benin Formation ( Miocene Recent ), Eastern Niger Delta , Nigeria : Lithostratigraphy , Hydraulics , and Water Quality. </t>
    </r>
    <r>
      <rPr>
        <i/>
        <sz val="11"/>
        <color theme="1"/>
        <rFont val="Calibri"/>
        <family val="2"/>
        <scheme val="minor"/>
      </rPr>
      <t>Environmental Geology Water Sciences</t>
    </r>
    <r>
      <rPr>
        <sz val="11"/>
        <color theme="1"/>
        <rFont val="Calibri"/>
        <family val="2"/>
        <scheme val="minor"/>
      </rPr>
      <t xml:space="preserve">, </t>
    </r>
    <r>
      <rPr>
        <i/>
        <sz val="11"/>
        <color theme="1"/>
        <rFont val="Calibri"/>
        <family val="2"/>
        <scheme val="minor"/>
      </rPr>
      <t>17</t>
    </r>
    <r>
      <rPr>
        <sz val="11"/>
        <color theme="1"/>
        <rFont val="Calibri"/>
        <family val="2"/>
        <scheme val="minor"/>
      </rPr>
      <t>(2), 85–101.</t>
    </r>
  </si>
  <si>
    <r>
      <t xml:space="preserve">Amorosi, A., Centineo, M. C., Colalongo, M. L., &amp; Fiorini, F. (2005). Millennial-scale depositional cycles from the Holocene of the Po Plain, Italy. </t>
    </r>
    <r>
      <rPr>
        <i/>
        <sz val="11"/>
        <color theme="1"/>
        <rFont val="Calibri"/>
        <family val="2"/>
        <scheme val="minor"/>
      </rPr>
      <t>Marine Geology</t>
    </r>
    <r>
      <rPr>
        <sz val="11"/>
        <color theme="1"/>
        <rFont val="Calibri"/>
        <family val="2"/>
        <scheme val="minor"/>
      </rPr>
      <t xml:space="preserve">, </t>
    </r>
    <r>
      <rPr>
        <i/>
        <sz val="11"/>
        <color theme="1"/>
        <rFont val="Calibri"/>
        <family val="2"/>
        <scheme val="minor"/>
      </rPr>
      <t>222</t>
    </r>
    <r>
      <rPr>
        <sz val="11"/>
        <color theme="1"/>
        <rFont val="Calibri"/>
        <family val="2"/>
        <scheme val="minor"/>
      </rPr>
      <t>–</t>
    </r>
    <r>
      <rPr>
        <i/>
        <sz val="11"/>
        <color theme="1"/>
        <rFont val="Calibri"/>
        <family val="2"/>
        <scheme val="minor"/>
      </rPr>
      <t>223</t>
    </r>
    <r>
      <rPr>
        <sz val="11"/>
        <color theme="1"/>
        <rFont val="Calibri"/>
        <family val="2"/>
        <scheme val="minor"/>
      </rPr>
      <t>(1–4), 7–18. https://doi.org/10.1016/j.margeo.2005.06.041</t>
    </r>
  </si>
  <si>
    <r>
      <t xml:space="preserve">Ausseil-Badie, J., Barusseau, J. P., Descamps, C., Salif Diop, E. H., Giresse, P., &amp; Pazdur, M. (1991). Holocene Deltaic Sequence in the Saloum Estuary, Senegal. </t>
    </r>
    <r>
      <rPr>
        <i/>
        <sz val="11"/>
        <color theme="1"/>
        <rFont val="Calibri"/>
        <family val="2"/>
        <scheme val="minor"/>
      </rPr>
      <t>Quaternary Research</t>
    </r>
    <r>
      <rPr>
        <sz val="11"/>
        <color theme="1"/>
        <rFont val="Calibri"/>
        <family val="2"/>
        <scheme val="minor"/>
      </rPr>
      <t xml:space="preserve">, </t>
    </r>
    <r>
      <rPr>
        <i/>
        <sz val="11"/>
        <color theme="1"/>
        <rFont val="Calibri"/>
        <family val="2"/>
        <scheme val="minor"/>
      </rPr>
      <t>36</t>
    </r>
    <r>
      <rPr>
        <sz val="11"/>
        <color theme="1"/>
        <rFont val="Calibri"/>
        <family val="2"/>
        <scheme val="minor"/>
      </rPr>
      <t>(PP0012), 178–194. https://doi.org/10.1016/0033-5894(91)90024-Y</t>
    </r>
  </si>
  <si>
    <t>Bobba, A. G. (n.d.). Simulation of Groundwater and Contamination Discharge from Krishna – Godavari Coast to Bay of Bengal , India, 23–40.</t>
  </si>
  <si>
    <r>
      <t xml:space="preserve">Bonsor, H. C., MacDonald, A. M., Ahmed, K. M., Burgess, W. G., Basharat, M., Calow, R. C., et al. (2017). Hydrogeological typologies of the Indo-Gangetic basin alluvial aquifer, South Asia. </t>
    </r>
    <r>
      <rPr>
        <i/>
        <sz val="11"/>
        <color theme="1"/>
        <rFont val="Calibri"/>
        <family val="2"/>
        <scheme val="minor"/>
      </rPr>
      <t>Hydrogeology Journal</t>
    </r>
    <r>
      <rPr>
        <sz val="11"/>
        <color theme="1"/>
        <rFont val="Calibri"/>
        <family val="2"/>
        <scheme val="minor"/>
      </rPr>
      <t xml:space="preserve">, </t>
    </r>
    <r>
      <rPr>
        <i/>
        <sz val="11"/>
        <color theme="1"/>
        <rFont val="Calibri"/>
        <family val="2"/>
        <scheme val="minor"/>
      </rPr>
      <t>25</t>
    </r>
    <r>
      <rPr>
        <sz val="11"/>
        <color theme="1"/>
        <rFont val="Calibri"/>
        <family val="2"/>
        <scheme val="minor"/>
      </rPr>
      <t>(5), 1377–1406. https://doi.org/10.1007/s10040-017-1550-z</t>
    </r>
  </si>
  <si>
    <r>
      <t xml:space="preserve">Bridger, D. W., &amp; Allen, D. M. (2006). An investigation into the effects of diffusion on salinity distribution beneath the Fraser River Delta, Canada. </t>
    </r>
    <r>
      <rPr>
        <i/>
        <sz val="11"/>
        <color theme="1"/>
        <rFont val="Calibri"/>
        <family val="2"/>
        <scheme val="minor"/>
      </rPr>
      <t>Hydrogeology Journal</t>
    </r>
    <r>
      <rPr>
        <sz val="11"/>
        <color theme="1"/>
        <rFont val="Calibri"/>
        <family val="2"/>
        <scheme val="minor"/>
      </rPr>
      <t xml:space="preserve">, </t>
    </r>
    <r>
      <rPr>
        <i/>
        <sz val="11"/>
        <color theme="1"/>
        <rFont val="Calibri"/>
        <family val="2"/>
        <scheme val="minor"/>
      </rPr>
      <t>14</t>
    </r>
    <r>
      <rPr>
        <sz val="11"/>
        <color theme="1"/>
        <rFont val="Calibri"/>
        <family val="2"/>
        <scheme val="minor"/>
      </rPr>
      <t>(8), 1423–1442. https://doi.org/10.1007/s10040-006-0060-1</t>
    </r>
  </si>
  <si>
    <r>
      <t xml:space="preserve">Clift, P. D., Giosan, L., Blusztajn, J., Campbell, I. H., Allen, C., Pringle, M., et al. (2008). Holocene erosion of the Lesser Himalaya triggered by intensified summer monsoon. </t>
    </r>
    <r>
      <rPr>
        <i/>
        <sz val="11"/>
        <color theme="1"/>
        <rFont val="Calibri"/>
        <family val="2"/>
        <scheme val="minor"/>
      </rPr>
      <t>Geology</t>
    </r>
    <r>
      <rPr>
        <sz val="11"/>
        <color theme="1"/>
        <rFont val="Calibri"/>
        <family val="2"/>
        <scheme val="minor"/>
      </rPr>
      <t xml:space="preserve">, </t>
    </r>
    <r>
      <rPr>
        <i/>
        <sz val="11"/>
        <color theme="1"/>
        <rFont val="Calibri"/>
        <family val="2"/>
        <scheme val="minor"/>
      </rPr>
      <t>36</t>
    </r>
    <r>
      <rPr>
        <sz val="11"/>
        <color theme="1"/>
        <rFont val="Calibri"/>
        <family val="2"/>
        <scheme val="minor"/>
      </rPr>
      <t>(1), 79–82. https://doi.org/10.1130/G24315A.1</t>
    </r>
  </si>
  <si>
    <r>
      <t xml:space="preserve">Colombani, N., Osti, A., Volta, G., &amp; Mastrocicco, M. (2016). Impact of Climate Change on Salinization of Coastal Water Resources. </t>
    </r>
    <r>
      <rPr>
        <i/>
        <sz val="11"/>
        <color theme="1"/>
        <rFont val="Calibri"/>
        <family val="2"/>
        <scheme val="minor"/>
      </rPr>
      <t>Water Resources Management</t>
    </r>
    <r>
      <rPr>
        <sz val="11"/>
        <color theme="1"/>
        <rFont val="Calibri"/>
        <family val="2"/>
        <scheme val="minor"/>
      </rPr>
      <t xml:space="preserve">, </t>
    </r>
    <r>
      <rPr>
        <i/>
        <sz val="11"/>
        <color theme="1"/>
        <rFont val="Calibri"/>
        <family val="2"/>
        <scheme val="minor"/>
      </rPr>
      <t>30</t>
    </r>
    <r>
      <rPr>
        <sz val="11"/>
        <color theme="1"/>
        <rFont val="Calibri"/>
        <family val="2"/>
        <scheme val="minor"/>
      </rPr>
      <t>(7), 2483–2496. https://doi.org/10.1007/s11269-016-1292-z</t>
    </r>
  </si>
  <si>
    <r>
      <t xml:space="preserve">Cooke, G. A. (1985). Reconstruction of the Mesopotamian coastline in the Holocene. </t>
    </r>
    <r>
      <rPr>
        <i/>
        <sz val="11"/>
        <color theme="1"/>
        <rFont val="Calibri"/>
        <family val="2"/>
        <scheme val="minor"/>
      </rPr>
      <t>Geological Society of America Abstracts</t>
    </r>
    <r>
      <rPr>
        <sz val="11"/>
        <color theme="1"/>
        <rFont val="Calibri"/>
        <family val="2"/>
        <scheme val="minor"/>
      </rPr>
      <t xml:space="preserve">, </t>
    </r>
    <r>
      <rPr>
        <i/>
        <sz val="11"/>
        <color theme="1"/>
        <rFont val="Calibri"/>
        <family val="2"/>
        <scheme val="minor"/>
      </rPr>
      <t>2</t>
    </r>
    <r>
      <rPr>
        <sz val="11"/>
        <color theme="1"/>
        <rFont val="Calibri"/>
        <family val="2"/>
        <scheme val="minor"/>
      </rPr>
      <t>(1), 15–28.</t>
    </r>
  </si>
  <si>
    <r>
      <t xml:space="preserve">Custodio, E. (2010). Coastal aquifers of Europe: an overview. </t>
    </r>
    <r>
      <rPr>
        <i/>
        <sz val="11"/>
        <color theme="1"/>
        <rFont val="Calibri"/>
        <family val="2"/>
        <scheme val="minor"/>
      </rPr>
      <t>Hydrogeology Journal</t>
    </r>
    <r>
      <rPr>
        <sz val="11"/>
        <color theme="1"/>
        <rFont val="Calibri"/>
        <family val="2"/>
        <scheme val="minor"/>
      </rPr>
      <t xml:space="preserve">, </t>
    </r>
    <r>
      <rPr>
        <i/>
        <sz val="11"/>
        <color theme="1"/>
        <rFont val="Calibri"/>
        <family val="2"/>
        <scheme val="minor"/>
      </rPr>
      <t>18</t>
    </r>
    <r>
      <rPr>
        <sz val="11"/>
        <color theme="1"/>
        <rFont val="Calibri"/>
        <family val="2"/>
        <scheme val="minor"/>
      </rPr>
      <t>(1), 269–280. https://doi.org/10.1007/s10040-009-0496-1</t>
    </r>
  </si>
  <si>
    <r>
      <t xml:space="preserve">Duque, C., Olsen, J. T., Sánchez-Úbeda, J. P., &amp; Calvache, M. L. (2019). Groundwater salinity during 500 years of anthropogenic-driven coastline changes in the Motril-Salobreña aquifer (South East Spain). </t>
    </r>
    <r>
      <rPr>
        <i/>
        <sz val="11"/>
        <color theme="1"/>
        <rFont val="Calibri"/>
        <family val="2"/>
        <scheme val="minor"/>
      </rPr>
      <t>Environmental Earth Sciences</t>
    </r>
    <r>
      <rPr>
        <sz val="11"/>
        <color theme="1"/>
        <rFont val="Calibri"/>
        <family val="2"/>
        <scheme val="minor"/>
      </rPr>
      <t xml:space="preserve">, </t>
    </r>
    <r>
      <rPr>
        <i/>
        <sz val="11"/>
        <color theme="1"/>
        <rFont val="Calibri"/>
        <family val="2"/>
        <scheme val="minor"/>
      </rPr>
      <t>78</t>
    </r>
    <r>
      <rPr>
        <sz val="11"/>
        <color theme="1"/>
        <rFont val="Calibri"/>
        <family val="2"/>
        <scheme val="minor"/>
      </rPr>
      <t>(15), 471. https://doi.org/10.1007/s12665-019-8476-9</t>
    </r>
  </si>
  <si>
    <r>
      <t xml:space="preserve">Fanget, A. S., Bassetti, M. A., Fontanier, C., Tudryn, A., &amp; Berné, S. (2016). Sedimentary archives of climate and sea-level changes during the Holocene in the Rhône prodelta (NW Mediterranean Sea). </t>
    </r>
    <r>
      <rPr>
        <i/>
        <sz val="11"/>
        <color theme="1"/>
        <rFont val="Calibri"/>
        <family val="2"/>
        <scheme val="minor"/>
      </rPr>
      <t>Climate of the Past</t>
    </r>
    <r>
      <rPr>
        <sz val="11"/>
        <color theme="1"/>
        <rFont val="Calibri"/>
        <family val="2"/>
        <scheme val="minor"/>
      </rPr>
      <t xml:space="preserve">, </t>
    </r>
    <r>
      <rPr>
        <i/>
        <sz val="11"/>
        <color theme="1"/>
        <rFont val="Calibri"/>
        <family val="2"/>
        <scheme val="minor"/>
      </rPr>
      <t>12</t>
    </r>
    <r>
      <rPr>
        <sz val="11"/>
        <color theme="1"/>
        <rFont val="Calibri"/>
        <family val="2"/>
        <scheme val="minor"/>
      </rPr>
      <t>(12), 2161–2179. https://doi.org/10.5194/cp-12-2161-2016</t>
    </r>
  </si>
  <si>
    <r>
      <t xml:space="preserve">Fass, T., Cook, P. G., Stieglitz, T., &amp; Herczeg, A. L. (2007). Development of saline ground water through transpiration of sea water. </t>
    </r>
    <r>
      <rPr>
        <i/>
        <sz val="11"/>
        <color theme="1"/>
        <rFont val="Calibri"/>
        <family val="2"/>
        <scheme val="minor"/>
      </rPr>
      <t>Ground Water</t>
    </r>
    <r>
      <rPr>
        <sz val="11"/>
        <color theme="1"/>
        <rFont val="Calibri"/>
        <family val="2"/>
        <scheme val="minor"/>
      </rPr>
      <t xml:space="preserve">, </t>
    </r>
    <r>
      <rPr>
        <i/>
        <sz val="11"/>
        <color theme="1"/>
        <rFont val="Calibri"/>
        <family val="2"/>
        <scheme val="minor"/>
      </rPr>
      <t>45</t>
    </r>
    <r>
      <rPr>
        <sz val="11"/>
        <color theme="1"/>
        <rFont val="Calibri"/>
        <family val="2"/>
        <scheme val="minor"/>
      </rPr>
      <t>(6), 703–710. https://doi.org/10.1111/j.1745-6584.2007.00344.x</t>
    </r>
  </si>
  <si>
    <r>
      <t xml:space="preserve">Faye, S., Maloszewski, P., Stichler, W., Trimborn, P., Faye, S. C., &amp; Gaye, C. B. (2005). Groundwater salinization in the Saloum (Senegal) delta aquifer: Minor elements and isotopic indicators. </t>
    </r>
    <r>
      <rPr>
        <i/>
        <sz val="11"/>
        <color theme="1"/>
        <rFont val="Calibri"/>
        <family val="2"/>
        <scheme val="minor"/>
      </rPr>
      <t>Science of the Total Environment</t>
    </r>
    <r>
      <rPr>
        <sz val="11"/>
        <color theme="1"/>
        <rFont val="Calibri"/>
        <family val="2"/>
        <scheme val="minor"/>
      </rPr>
      <t xml:space="preserve">, </t>
    </r>
    <r>
      <rPr>
        <i/>
        <sz val="11"/>
        <color theme="1"/>
        <rFont val="Calibri"/>
        <family val="2"/>
        <scheme val="minor"/>
      </rPr>
      <t>343</t>
    </r>
    <r>
      <rPr>
        <sz val="11"/>
        <color theme="1"/>
        <rFont val="Calibri"/>
        <family val="2"/>
        <scheme val="minor"/>
      </rPr>
      <t>(1–3), 243–259. https://doi.org/10.1016/j.scitotenv.2004.10.001</t>
    </r>
  </si>
  <si>
    <r>
      <t xml:space="preserve">Fielding, C. R., Trueman, J. D., &amp; Alexander, J. (2006). Holocene Depositional History of the Burdekin River Delta of Northeastern Australia: A Model for a Low-Accommodation, Highstand Delta. </t>
    </r>
    <r>
      <rPr>
        <i/>
        <sz val="11"/>
        <color theme="1"/>
        <rFont val="Calibri"/>
        <family val="2"/>
        <scheme val="minor"/>
      </rPr>
      <t>Journal of Sedimentary Research</t>
    </r>
    <r>
      <rPr>
        <sz val="11"/>
        <color theme="1"/>
        <rFont val="Calibri"/>
        <family val="2"/>
        <scheme val="minor"/>
      </rPr>
      <t xml:space="preserve">, </t>
    </r>
    <r>
      <rPr>
        <i/>
        <sz val="11"/>
        <color theme="1"/>
        <rFont val="Calibri"/>
        <family val="2"/>
        <scheme val="minor"/>
      </rPr>
      <t>76</t>
    </r>
    <r>
      <rPr>
        <sz val="11"/>
        <color theme="1"/>
        <rFont val="Calibri"/>
        <family val="2"/>
        <scheme val="minor"/>
      </rPr>
      <t>(3), 411–428. https://doi.org/10.2110/jsr.2006.032</t>
    </r>
  </si>
  <si>
    <r>
      <t xml:space="preserve">Giao, P. H., Phien-Wej, N., &amp; Honjo, Y. (1998). FEM quasi-3D modelling of responses to artificial recharge in the Bangkok multiaquifer system. </t>
    </r>
    <r>
      <rPr>
        <i/>
        <sz val="11"/>
        <color theme="1"/>
        <rFont val="Calibri"/>
        <family val="2"/>
        <scheme val="minor"/>
      </rPr>
      <t>Environmental Modelling and Software</t>
    </r>
    <r>
      <rPr>
        <sz val="11"/>
        <color theme="1"/>
        <rFont val="Calibri"/>
        <family val="2"/>
        <scheme val="minor"/>
      </rPr>
      <t xml:space="preserve">, </t>
    </r>
    <r>
      <rPr>
        <i/>
        <sz val="11"/>
        <color theme="1"/>
        <rFont val="Calibri"/>
        <family val="2"/>
        <scheme val="minor"/>
      </rPr>
      <t>14</t>
    </r>
    <r>
      <rPr>
        <sz val="11"/>
        <color theme="1"/>
        <rFont val="Calibri"/>
        <family val="2"/>
        <scheme val="minor"/>
      </rPr>
      <t>(2–3), 141–151. https://doi.org/10.1016/S1364-8152(98)00065-6</t>
    </r>
  </si>
  <si>
    <r>
      <t xml:space="preserve">Giosan, L., Naing, T., Tun, M. M., Clift, P. D., Filip, F., Constantinescu, S., et al. (2018). On the Holocene evolution of the Ayeyawady megadelta. </t>
    </r>
    <r>
      <rPr>
        <i/>
        <sz val="11"/>
        <color theme="1"/>
        <rFont val="Calibri"/>
        <family val="2"/>
        <scheme val="minor"/>
      </rPr>
      <t>Earth Surface Dynamics</t>
    </r>
    <r>
      <rPr>
        <sz val="11"/>
        <color theme="1"/>
        <rFont val="Calibri"/>
        <family val="2"/>
        <scheme val="minor"/>
      </rPr>
      <t xml:space="preserve">, </t>
    </r>
    <r>
      <rPr>
        <i/>
        <sz val="11"/>
        <color theme="1"/>
        <rFont val="Calibri"/>
        <family val="2"/>
        <scheme val="minor"/>
      </rPr>
      <t>6</t>
    </r>
    <r>
      <rPr>
        <sz val="11"/>
        <color theme="1"/>
        <rFont val="Calibri"/>
        <family val="2"/>
        <scheme val="minor"/>
      </rPr>
      <t>(2), 451–466. https://doi.org/10.5194/esurf-6-451-2018</t>
    </r>
  </si>
  <si>
    <r>
      <t xml:space="preserve">Goodbred, S. L., &amp; Kuehl, S. A. (2000). The significance of large sediment supply, active tectonism, and eustasy on margin sequence development: Late Quaternary stratigraphy and evolution of the Ganges-Brahmaputra delta. </t>
    </r>
    <r>
      <rPr>
        <i/>
        <sz val="11"/>
        <color theme="1"/>
        <rFont val="Calibri"/>
        <family val="2"/>
        <scheme val="minor"/>
      </rPr>
      <t>Sedimentary Geology</t>
    </r>
    <r>
      <rPr>
        <sz val="11"/>
        <color theme="1"/>
        <rFont val="Calibri"/>
        <family val="2"/>
        <scheme val="minor"/>
      </rPr>
      <t xml:space="preserve">, </t>
    </r>
    <r>
      <rPr>
        <i/>
        <sz val="11"/>
        <color theme="1"/>
        <rFont val="Calibri"/>
        <family val="2"/>
        <scheme val="minor"/>
      </rPr>
      <t>133</t>
    </r>
    <r>
      <rPr>
        <sz val="11"/>
        <color theme="1"/>
        <rFont val="Calibri"/>
        <family val="2"/>
        <scheme val="minor"/>
      </rPr>
      <t>(3–4), 227–248. https://doi.org/10.1016/S0037-0738(00)00041-5</t>
    </r>
  </si>
  <si>
    <r>
      <t xml:space="preserve">Griffith, J. M. (2003). Hydrogeologic Framework of Southeastern Louisiana. </t>
    </r>
    <r>
      <rPr>
        <i/>
        <sz val="11"/>
        <color theme="1"/>
        <rFont val="Calibri"/>
        <family val="2"/>
        <scheme val="minor"/>
      </rPr>
      <t>Louisiana Department of Transportation and Development Water Resourcs Technical Report No. 72</t>
    </r>
    <r>
      <rPr>
        <sz val="11"/>
        <color theme="1"/>
        <rFont val="Calibri"/>
        <family val="2"/>
        <scheme val="minor"/>
      </rPr>
      <t>.</t>
    </r>
  </si>
  <si>
    <r>
      <t xml:space="preserve">Das Gupta, A. (1985). Simulated salt-water movement in the Nakhon Luang Aquifer, Bangkok, Thailand. </t>
    </r>
    <r>
      <rPr>
        <i/>
        <sz val="11"/>
        <color theme="1"/>
        <rFont val="Calibri"/>
        <family val="2"/>
        <scheme val="minor"/>
      </rPr>
      <t>Ground Water</t>
    </r>
    <r>
      <rPr>
        <sz val="11"/>
        <color theme="1"/>
        <rFont val="Calibri"/>
        <family val="2"/>
        <scheme val="minor"/>
      </rPr>
      <t xml:space="preserve">, </t>
    </r>
    <r>
      <rPr>
        <i/>
        <sz val="11"/>
        <color theme="1"/>
        <rFont val="Calibri"/>
        <family val="2"/>
        <scheme val="minor"/>
      </rPr>
      <t>23</t>
    </r>
    <r>
      <rPr>
        <sz val="11"/>
        <color theme="1"/>
        <rFont val="Calibri"/>
        <family val="2"/>
        <scheme val="minor"/>
      </rPr>
      <t>(4).</t>
    </r>
  </si>
  <si>
    <r>
      <t xml:space="preserve">de Haas, T., Pierik, H. J., van der Spek, A. J. F., Cohen, K. M., van Maanen, B., &amp; Kleinhans, M. G. (2018). Holocene evolution of tidal systems in The Netherlands: Effects of rivers, coastal boundary conditions, eco-engineering species, inherited relief and human interference. </t>
    </r>
    <r>
      <rPr>
        <i/>
        <sz val="11"/>
        <color theme="1"/>
        <rFont val="Calibri"/>
        <family val="2"/>
        <scheme val="minor"/>
      </rPr>
      <t>Earth-Science Reviews</t>
    </r>
    <r>
      <rPr>
        <sz val="11"/>
        <color theme="1"/>
        <rFont val="Calibri"/>
        <family val="2"/>
        <scheme val="minor"/>
      </rPr>
      <t xml:space="preserve">, </t>
    </r>
    <r>
      <rPr>
        <i/>
        <sz val="11"/>
        <color theme="1"/>
        <rFont val="Calibri"/>
        <family val="2"/>
        <scheme val="minor"/>
      </rPr>
      <t>177</t>
    </r>
    <r>
      <rPr>
        <sz val="11"/>
        <color theme="1"/>
        <rFont val="Calibri"/>
        <family val="2"/>
        <scheme val="minor"/>
      </rPr>
      <t>, 139–163. https://doi.org/10.1016/j.earscirev.2017.10.006</t>
    </r>
  </si>
  <si>
    <r>
      <t xml:space="preserve">Han, D., Kohfahl, C., Song, X., Xiao, G., &amp; Yang, J. (2011). Geochemical and isotopic evidence for palaeo-seawater intrusion into the south coast aquifer of Laizhou Bay, China. </t>
    </r>
    <r>
      <rPr>
        <i/>
        <sz val="11"/>
        <color theme="1"/>
        <rFont val="Calibri"/>
        <family val="2"/>
        <scheme val="minor"/>
      </rPr>
      <t>Applied Geochemistry</t>
    </r>
    <r>
      <rPr>
        <sz val="11"/>
        <color theme="1"/>
        <rFont val="Calibri"/>
        <family val="2"/>
        <scheme val="minor"/>
      </rPr>
      <t xml:space="preserve">, </t>
    </r>
    <r>
      <rPr>
        <i/>
        <sz val="11"/>
        <color theme="1"/>
        <rFont val="Calibri"/>
        <family val="2"/>
        <scheme val="minor"/>
      </rPr>
      <t>26</t>
    </r>
    <r>
      <rPr>
        <sz val="11"/>
        <color theme="1"/>
        <rFont val="Calibri"/>
        <family val="2"/>
        <scheme val="minor"/>
      </rPr>
      <t>(5), 863–883. https://doi.org/10.1016/j.apgeochem.2011.02.007</t>
    </r>
  </si>
  <si>
    <r>
      <t xml:space="preserve">Hehanussa, P. E. (1980). Appenndix 2: Excursion guide to the Cimanuk Delta complex, west Java. In </t>
    </r>
    <r>
      <rPr>
        <i/>
        <sz val="11"/>
        <color theme="1"/>
        <rFont val="Calibri"/>
        <family val="2"/>
        <scheme val="minor"/>
      </rPr>
      <t>Proceedings of the Jakarta workshop on coastal resources management</t>
    </r>
    <r>
      <rPr>
        <sz val="11"/>
        <color theme="1"/>
        <rFont val="Calibri"/>
        <family val="2"/>
        <scheme val="minor"/>
      </rPr>
      <t>.</t>
    </r>
  </si>
  <si>
    <r>
      <t xml:space="preserve">Hussein, M. T. (1982). Evaluation of groundwater resources in tokar delta, sudan. </t>
    </r>
    <r>
      <rPr>
        <i/>
        <sz val="11"/>
        <color theme="1"/>
        <rFont val="Calibri"/>
        <family val="2"/>
        <scheme val="minor"/>
      </rPr>
      <t>Hydrological Sciences Journal</t>
    </r>
    <r>
      <rPr>
        <sz val="11"/>
        <color theme="1"/>
        <rFont val="Calibri"/>
        <family val="2"/>
        <scheme val="minor"/>
      </rPr>
      <t xml:space="preserve">, </t>
    </r>
    <r>
      <rPr>
        <i/>
        <sz val="11"/>
        <color theme="1"/>
        <rFont val="Calibri"/>
        <family val="2"/>
        <scheme val="minor"/>
      </rPr>
      <t>27</t>
    </r>
    <r>
      <rPr>
        <sz val="11"/>
        <color theme="1"/>
        <rFont val="Calibri"/>
        <family val="2"/>
        <scheme val="minor"/>
      </rPr>
      <t>(2), 139–145. https://doi.org/10.1080/02626668209491096</t>
    </r>
  </si>
  <si>
    <r>
      <t xml:space="preserve">Iribar, V., Carrera, J., Custodio, E., &amp; Medina, A. (1997). Inverse modelling of seawater intrusion in the Llobregat delta deep aquifer. </t>
    </r>
    <r>
      <rPr>
        <i/>
        <sz val="11"/>
        <color theme="1"/>
        <rFont val="Calibri"/>
        <family val="2"/>
        <scheme val="minor"/>
      </rPr>
      <t>Journal of Hydrology</t>
    </r>
    <r>
      <rPr>
        <sz val="11"/>
        <color theme="1"/>
        <rFont val="Calibri"/>
        <family val="2"/>
        <scheme val="minor"/>
      </rPr>
      <t xml:space="preserve">, </t>
    </r>
    <r>
      <rPr>
        <i/>
        <sz val="11"/>
        <color theme="1"/>
        <rFont val="Calibri"/>
        <family val="2"/>
        <scheme val="minor"/>
      </rPr>
      <t>198</t>
    </r>
    <r>
      <rPr>
        <sz val="11"/>
        <color theme="1"/>
        <rFont val="Calibri"/>
        <family val="2"/>
        <scheme val="minor"/>
      </rPr>
      <t>(1–4), 226–244. https://doi.org/10.1016/S0022-1694(96)03290-8</t>
    </r>
  </si>
  <si>
    <r>
      <t xml:space="preserve">Jassim, S., &amp; Goff, J. (2006). </t>
    </r>
    <r>
      <rPr>
        <i/>
        <sz val="11"/>
        <color theme="1"/>
        <rFont val="Calibri"/>
        <family val="2"/>
        <scheme val="minor"/>
      </rPr>
      <t>Geology of Iraq</t>
    </r>
    <r>
      <rPr>
        <sz val="11"/>
        <color theme="1"/>
        <rFont val="Calibri"/>
        <family val="2"/>
        <scheme val="minor"/>
      </rPr>
      <t>. (S. Jassim &amp; J. Goff, Eds.) (1st ed.). Brno, Czech Republic: Dolin.</t>
    </r>
  </si>
  <si>
    <r>
      <t xml:space="preserve">Jaworska-Szulc, B. (2009). Groundwater flow modelling of multi-aquifer systems for regional resources evaluation: The Gdansk hydrogeological system, Poland. </t>
    </r>
    <r>
      <rPr>
        <i/>
        <sz val="11"/>
        <color theme="1"/>
        <rFont val="Calibri"/>
        <family val="2"/>
        <scheme val="minor"/>
      </rPr>
      <t>Hydrogeology Journal</t>
    </r>
    <r>
      <rPr>
        <sz val="11"/>
        <color theme="1"/>
        <rFont val="Calibri"/>
        <family val="2"/>
        <scheme val="minor"/>
      </rPr>
      <t xml:space="preserve">, </t>
    </r>
    <r>
      <rPr>
        <i/>
        <sz val="11"/>
        <color theme="1"/>
        <rFont val="Calibri"/>
        <family val="2"/>
        <scheme val="minor"/>
      </rPr>
      <t>17</t>
    </r>
    <r>
      <rPr>
        <sz val="11"/>
        <color theme="1"/>
        <rFont val="Calibri"/>
        <family val="2"/>
        <scheme val="minor"/>
      </rPr>
      <t>(6), 1521–1542. https://doi.org/10.1007/s10040-009-0473-8</t>
    </r>
  </si>
  <si>
    <r>
      <t xml:space="preserve">Kagabu, M., Delinom, R. M., Lubis, R. F., Shimada, J., &amp; Taniguchi, M. (2010). Groundwater Characteristics in Jakarta Area, Indonesia. </t>
    </r>
    <r>
      <rPr>
        <i/>
        <sz val="11"/>
        <color theme="1"/>
        <rFont val="Calibri"/>
        <family val="2"/>
        <scheme val="minor"/>
      </rPr>
      <t>Jurnal RISET Geologi Dan Pertambangan</t>
    </r>
    <r>
      <rPr>
        <sz val="11"/>
        <color theme="1"/>
        <rFont val="Calibri"/>
        <family val="2"/>
        <scheme val="minor"/>
      </rPr>
      <t xml:space="preserve">, </t>
    </r>
    <r>
      <rPr>
        <i/>
        <sz val="11"/>
        <color theme="1"/>
        <rFont val="Calibri"/>
        <family val="2"/>
        <scheme val="minor"/>
      </rPr>
      <t>20</t>
    </r>
    <r>
      <rPr>
        <sz val="11"/>
        <color theme="1"/>
        <rFont val="Calibri"/>
        <family val="2"/>
        <scheme val="minor"/>
      </rPr>
      <t>(2), 69. https://doi.org/10.14203/risetgeotam2010.v20.35</t>
    </r>
  </si>
  <si>
    <r>
      <t xml:space="preserve">Kozerski, B. (1983). PROBLEMS OF THE SALT WATER ORIGIN IN THE VISTULA DELTA AQUIFERS. In </t>
    </r>
    <r>
      <rPr>
        <i/>
        <sz val="11"/>
        <color theme="1"/>
        <rFont val="Calibri"/>
        <family val="2"/>
        <scheme val="minor"/>
      </rPr>
      <t>Proceedings of the 8th Salt Water Intrusion Meeting, Bari, Italy</t>
    </r>
    <r>
      <rPr>
        <sz val="11"/>
        <color theme="1"/>
        <rFont val="Calibri"/>
        <family val="2"/>
        <scheme val="minor"/>
      </rPr>
      <t xml:space="preserve"> (pp. 325–334).</t>
    </r>
  </si>
  <si>
    <r>
      <t xml:space="preserve">Kumar, B., Rao, M. S., Gupta, A. K., &amp; Purushothaman, P. (2011). Groundwater management in a coastal aquifer in Krishna River Delta , South India using isotopic approach. </t>
    </r>
    <r>
      <rPr>
        <i/>
        <sz val="11"/>
        <color theme="1"/>
        <rFont val="Calibri"/>
        <family val="2"/>
        <scheme val="minor"/>
      </rPr>
      <t>Current Science</t>
    </r>
    <r>
      <rPr>
        <sz val="11"/>
        <color theme="1"/>
        <rFont val="Calibri"/>
        <family val="2"/>
        <scheme val="minor"/>
      </rPr>
      <t xml:space="preserve">, </t>
    </r>
    <r>
      <rPr>
        <i/>
        <sz val="11"/>
        <color theme="1"/>
        <rFont val="Calibri"/>
        <family val="2"/>
        <scheme val="minor"/>
      </rPr>
      <t>100</t>
    </r>
    <r>
      <rPr>
        <sz val="11"/>
        <color theme="1"/>
        <rFont val="Calibri"/>
        <family val="2"/>
        <scheme val="minor"/>
      </rPr>
      <t>(7).</t>
    </r>
  </si>
  <si>
    <r>
      <t xml:space="preserve">Kwong, H. T., Jiao, J. J., &amp; Chan, L. S. (2016). A preliminary study on the offshore stratigraphy in Hong Kong and its hydrogeological implications. </t>
    </r>
    <r>
      <rPr>
        <i/>
        <sz val="11"/>
        <color theme="1"/>
        <rFont val="Calibri"/>
        <family val="2"/>
        <scheme val="minor"/>
      </rPr>
      <t>Environmental Earth Sciences</t>
    </r>
    <r>
      <rPr>
        <sz val="11"/>
        <color theme="1"/>
        <rFont val="Calibri"/>
        <family val="2"/>
        <scheme val="minor"/>
      </rPr>
      <t xml:space="preserve">, </t>
    </r>
    <r>
      <rPr>
        <i/>
        <sz val="11"/>
        <color theme="1"/>
        <rFont val="Calibri"/>
        <family val="2"/>
        <scheme val="minor"/>
      </rPr>
      <t>75</t>
    </r>
    <r>
      <rPr>
        <sz val="11"/>
        <color theme="1"/>
        <rFont val="Calibri"/>
        <family val="2"/>
        <scheme val="minor"/>
      </rPr>
      <t>(11), 975. https://doi.org/10.1007/s12665-016-5749-4</t>
    </r>
  </si>
  <si>
    <r>
      <t xml:space="preserve">Larsen, F., Tran, L. V., Van Hoang, H., Tran, L. T., Christiansen, A. V., &amp; Pham, N. Q. (2017). Groundwater salinity influenced by Holocene seawater trapped in incised valleys in the Red River delta plain. </t>
    </r>
    <r>
      <rPr>
        <i/>
        <sz val="11"/>
        <color theme="1"/>
        <rFont val="Calibri"/>
        <family val="2"/>
        <scheme val="minor"/>
      </rPr>
      <t>Nature Geoscience</t>
    </r>
    <r>
      <rPr>
        <sz val="11"/>
        <color theme="1"/>
        <rFont val="Calibri"/>
        <family val="2"/>
        <scheme val="minor"/>
      </rPr>
      <t xml:space="preserve">, </t>
    </r>
    <r>
      <rPr>
        <i/>
        <sz val="11"/>
        <color theme="1"/>
        <rFont val="Calibri"/>
        <family val="2"/>
        <scheme val="minor"/>
      </rPr>
      <t>10</t>
    </r>
    <r>
      <rPr>
        <sz val="11"/>
        <color theme="1"/>
        <rFont val="Calibri"/>
        <family val="2"/>
        <scheme val="minor"/>
      </rPr>
      <t>(May). https://doi.org/10.1038/ngeo2938</t>
    </r>
  </si>
  <si>
    <r>
      <t xml:space="preserve">Makowska, A. (1991). Pleistocene marine deposits and their bearing on the stratigraphy of the Yougher Pleistocene in Dolne Powisle (North Poland). </t>
    </r>
    <r>
      <rPr>
        <i/>
        <sz val="11"/>
        <color theme="1"/>
        <rFont val="Calibri"/>
        <family val="2"/>
        <scheme val="minor"/>
      </rPr>
      <t>Kwartalnik Geologiczny</t>
    </r>
    <r>
      <rPr>
        <sz val="11"/>
        <color theme="1"/>
        <rFont val="Calibri"/>
        <family val="2"/>
        <scheme val="minor"/>
      </rPr>
      <t xml:space="preserve">, </t>
    </r>
    <r>
      <rPr>
        <i/>
        <sz val="11"/>
        <color theme="1"/>
        <rFont val="Calibri"/>
        <family val="2"/>
        <scheme val="minor"/>
      </rPr>
      <t>35</t>
    </r>
    <r>
      <rPr>
        <sz val="11"/>
        <color theme="1"/>
        <rFont val="Calibri"/>
        <family val="2"/>
        <scheme val="minor"/>
      </rPr>
      <t>(1), 107–118.</t>
    </r>
  </si>
  <si>
    <r>
      <t xml:space="preserve">Manzano, M., Custodio, E., Loosli, H., Cabrera, M. C., Riera, X., &amp; Custodio, J. (2001). Palaeowater in coastal aquifers of Spain. </t>
    </r>
    <r>
      <rPr>
        <i/>
        <sz val="11"/>
        <color theme="1"/>
        <rFont val="Calibri"/>
        <family val="2"/>
        <scheme val="minor"/>
      </rPr>
      <t>Geological Society, London, Special Publications</t>
    </r>
    <r>
      <rPr>
        <sz val="11"/>
        <color theme="1"/>
        <rFont val="Calibri"/>
        <family val="2"/>
        <scheme val="minor"/>
      </rPr>
      <t xml:space="preserve">, </t>
    </r>
    <r>
      <rPr>
        <i/>
        <sz val="11"/>
        <color theme="1"/>
        <rFont val="Calibri"/>
        <family val="2"/>
        <scheme val="minor"/>
      </rPr>
      <t>189</t>
    </r>
    <r>
      <rPr>
        <sz val="11"/>
        <color theme="1"/>
        <rFont val="Calibri"/>
        <family val="2"/>
        <scheme val="minor"/>
      </rPr>
      <t>(1), 107–138. https://doi.org/10.1144/gsl.sp.2001.189.01.08</t>
    </r>
  </si>
  <si>
    <r>
      <t xml:space="preserve">Mcmahon, G. A., Arunakumaren, N. J., &amp; Bajracharya, K. (2000). Hydrogeological Conceptualisation of the Burdekin River Delta. In </t>
    </r>
    <r>
      <rPr>
        <i/>
        <sz val="11"/>
        <color theme="1"/>
        <rFont val="Calibri"/>
        <family val="2"/>
        <scheme val="minor"/>
      </rPr>
      <t>Proceedings f the 3rd international Hydrology and Water Resources Symposium of the Institution of Engineers, Perth, Western Australia, Australia</t>
    </r>
    <r>
      <rPr>
        <sz val="11"/>
        <color theme="1"/>
        <rFont val="Calibri"/>
        <family val="2"/>
        <scheme val="minor"/>
      </rPr>
      <t>.</t>
    </r>
  </si>
  <si>
    <r>
      <t xml:space="preserve">Michael, H. A., &amp; Voss, C. I. (2009). Estimation of regional-scale groundwater flow properties in the Bengal Basin of India and Bangladesh. </t>
    </r>
    <r>
      <rPr>
        <i/>
        <sz val="11"/>
        <color theme="1"/>
        <rFont val="Calibri"/>
        <family val="2"/>
        <scheme val="minor"/>
      </rPr>
      <t>Hydrogeology Journal</t>
    </r>
    <r>
      <rPr>
        <sz val="11"/>
        <color theme="1"/>
        <rFont val="Calibri"/>
        <family val="2"/>
        <scheme val="minor"/>
      </rPr>
      <t xml:space="preserve">, </t>
    </r>
    <r>
      <rPr>
        <i/>
        <sz val="11"/>
        <color theme="1"/>
        <rFont val="Calibri"/>
        <family val="2"/>
        <scheme val="minor"/>
      </rPr>
      <t>17</t>
    </r>
    <r>
      <rPr>
        <sz val="11"/>
        <color theme="1"/>
        <rFont val="Calibri"/>
        <family val="2"/>
        <scheme val="minor"/>
      </rPr>
      <t>(6), 1329–1346. https://doi.org/10.1007/s10040-009-0443-1</t>
    </r>
  </si>
  <si>
    <r>
      <t xml:space="preserve">Minderhoud, P. S. J., Erkens, G., Pham, V. H., Bui, V. T., Erban, L., Kooi, H., &amp; Stouthamer, E. (2017). Impacts of 25 years of groundwater extraction on subsidence in the Mekong delta, Vietnam. </t>
    </r>
    <r>
      <rPr>
        <i/>
        <sz val="11"/>
        <color theme="1"/>
        <rFont val="Calibri"/>
        <family val="2"/>
        <scheme val="minor"/>
      </rPr>
      <t>Environmental Research Letters</t>
    </r>
    <r>
      <rPr>
        <sz val="11"/>
        <color theme="1"/>
        <rFont val="Calibri"/>
        <family val="2"/>
        <scheme val="minor"/>
      </rPr>
      <t xml:space="preserve">, </t>
    </r>
    <r>
      <rPr>
        <i/>
        <sz val="11"/>
        <color theme="1"/>
        <rFont val="Calibri"/>
        <family val="2"/>
        <scheme val="minor"/>
      </rPr>
      <t>12</t>
    </r>
    <r>
      <rPr>
        <sz val="11"/>
        <color theme="1"/>
        <rFont val="Calibri"/>
        <family val="2"/>
        <scheme val="minor"/>
      </rPr>
      <t>(6), 64006. https://doi.org/doi.org/10.1088/1748-9326/aa7146</t>
    </r>
  </si>
  <si>
    <r>
      <t xml:space="preserve">de Montety, V., Radakovitch, O., Vallet-Coulomb, C., Blavoux, B., Hermitte, D., &amp; Valles, V. (2008). Origin of groundwater salinity and hydrogeochemical processes in a confined coastal aquifer: Case of the Rhône delta (Southern France). </t>
    </r>
    <r>
      <rPr>
        <i/>
        <sz val="11"/>
        <color theme="1"/>
        <rFont val="Calibri"/>
        <family val="2"/>
        <scheme val="minor"/>
      </rPr>
      <t>Applied Geochemistry</t>
    </r>
    <r>
      <rPr>
        <sz val="11"/>
        <color theme="1"/>
        <rFont val="Calibri"/>
        <family val="2"/>
        <scheme val="minor"/>
      </rPr>
      <t xml:space="preserve">, </t>
    </r>
    <r>
      <rPr>
        <i/>
        <sz val="11"/>
        <color theme="1"/>
        <rFont val="Calibri"/>
        <family val="2"/>
        <scheme val="minor"/>
      </rPr>
      <t>23</t>
    </r>
    <r>
      <rPr>
        <sz val="11"/>
        <color theme="1"/>
        <rFont val="Calibri"/>
        <family val="2"/>
        <scheme val="minor"/>
      </rPr>
      <t>(8), 2337–2349. https://doi.org/10.1016/j.apgeochem.2008.03.011</t>
    </r>
  </si>
  <si>
    <r>
      <t xml:space="preserve">Narayan, K. A., Schleeberger, C., &amp; Bristow, K. L. (2007). Modelling seawater intrusion in the Burdekin Delta Irrigation Area, North Queensland, Australia. </t>
    </r>
    <r>
      <rPr>
        <i/>
        <sz val="11"/>
        <color theme="1"/>
        <rFont val="Calibri"/>
        <family val="2"/>
        <scheme val="minor"/>
      </rPr>
      <t>Agricultural Water Management</t>
    </r>
    <r>
      <rPr>
        <sz val="11"/>
        <color theme="1"/>
        <rFont val="Calibri"/>
        <family val="2"/>
        <scheme val="minor"/>
      </rPr>
      <t xml:space="preserve">, </t>
    </r>
    <r>
      <rPr>
        <i/>
        <sz val="11"/>
        <color theme="1"/>
        <rFont val="Calibri"/>
        <family val="2"/>
        <scheme val="minor"/>
      </rPr>
      <t>89</t>
    </r>
    <r>
      <rPr>
        <sz val="11"/>
        <color theme="1"/>
        <rFont val="Calibri"/>
        <family val="2"/>
        <scheme val="minor"/>
      </rPr>
      <t>(3), 217–228. https://doi.org/10.1016/j.agwat.2007.01.008</t>
    </r>
  </si>
  <si>
    <r>
      <t xml:space="preserve">Naseem, S., Husain, V., &amp; Bano, S. (2018). Origin of Salinity and Other Constituents in Indus Deltaic Plain Groundwater, Thatta District, Pakistan. </t>
    </r>
    <r>
      <rPr>
        <i/>
        <sz val="11"/>
        <color theme="1"/>
        <rFont val="Calibri"/>
        <family val="2"/>
        <scheme val="minor"/>
      </rPr>
      <t>Journal of Coastal Research</t>
    </r>
    <r>
      <rPr>
        <sz val="11"/>
        <color theme="1"/>
        <rFont val="Calibri"/>
        <family val="2"/>
        <scheme val="minor"/>
      </rPr>
      <t xml:space="preserve">, </t>
    </r>
    <r>
      <rPr>
        <i/>
        <sz val="11"/>
        <color theme="1"/>
        <rFont val="Calibri"/>
        <family val="2"/>
        <scheme val="minor"/>
      </rPr>
      <t>344</t>
    </r>
    <r>
      <rPr>
        <sz val="11"/>
        <color theme="1"/>
        <rFont val="Calibri"/>
        <family val="2"/>
        <scheme val="minor"/>
      </rPr>
      <t>(4), 883–891. https://doi.org/10.2112/jcoastres-d-17-00052.1</t>
    </r>
  </si>
  <si>
    <r>
      <t xml:space="preserve">Nguyen, A. D., &amp; Savenije, H. H. G. (2006). Salt intrusion in multi-channel estuaries: a case study in the {Mekong} {Delta}, {Vietnam}. </t>
    </r>
    <r>
      <rPr>
        <i/>
        <sz val="11"/>
        <color theme="1"/>
        <rFont val="Calibri"/>
        <family val="2"/>
        <scheme val="minor"/>
      </rPr>
      <t>Hess</t>
    </r>
    <r>
      <rPr>
        <sz val="11"/>
        <color theme="1"/>
        <rFont val="Calibri"/>
        <family val="2"/>
        <scheme val="minor"/>
      </rPr>
      <t xml:space="preserve">, </t>
    </r>
    <r>
      <rPr>
        <i/>
        <sz val="11"/>
        <color theme="1"/>
        <rFont val="Calibri"/>
        <family val="2"/>
        <scheme val="minor"/>
      </rPr>
      <t>10</t>
    </r>
    <r>
      <rPr>
        <sz val="11"/>
        <color theme="1"/>
        <rFont val="Calibri"/>
        <family val="2"/>
        <scheme val="minor"/>
      </rPr>
      <t>, 743–754. https://doi.org/10.5194/hessd-3-499-2006</t>
    </r>
  </si>
  <si>
    <r>
      <t xml:space="preserve">Onodera, S. ichi, Saito, M., Sawano, M., Hosono, T., Taniguchi, M., Shimada, J., et al. (2009). Erratum to “Effects of intensive urbanization on the intrusion of shallow groundwater into deep groundwater: Examples from Bangkok and Jakarta” (DOI:10.1016/j.scitotenv.2008.08.003). </t>
    </r>
    <r>
      <rPr>
        <i/>
        <sz val="11"/>
        <color theme="1"/>
        <rFont val="Calibri"/>
        <family val="2"/>
        <scheme val="minor"/>
      </rPr>
      <t>Science of the Total Environment</t>
    </r>
    <r>
      <rPr>
        <sz val="11"/>
        <color theme="1"/>
        <rFont val="Calibri"/>
        <family val="2"/>
        <scheme val="minor"/>
      </rPr>
      <t xml:space="preserve">, </t>
    </r>
    <r>
      <rPr>
        <i/>
        <sz val="11"/>
        <color theme="1"/>
        <rFont val="Calibri"/>
        <family val="2"/>
        <scheme val="minor"/>
      </rPr>
      <t>407</t>
    </r>
    <r>
      <rPr>
        <sz val="11"/>
        <color theme="1"/>
        <rFont val="Calibri"/>
        <family val="2"/>
        <scheme val="minor"/>
      </rPr>
      <t>(9), 3209–3217. https://doi.org/10.1016/j.scitotenv.2009.01.049</t>
    </r>
  </si>
  <si>
    <r>
      <t xml:space="preserve">Oude Essink, G. H. P., Van Baaren, E. S., &amp; De Louw, P. G. B. (2010). Effects of climate change on coastal groundwater systems: A modeling study in the Netherlands. </t>
    </r>
    <r>
      <rPr>
        <i/>
        <sz val="11"/>
        <color theme="1"/>
        <rFont val="Calibri"/>
        <family val="2"/>
        <scheme val="minor"/>
      </rPr>
      <t>Water Resources Research</t>
    </r>
    <r>
      <rPr>
        <sz val="11"/>
        <color theme="1"/>
        <rFont val="Calibri"/>
        <family val="2"/>
        <scheme val="minor"/>
      </rPr>
      <t xml:space="preserve">, </t>
    </r>
    <r>
      <rPr>
        <i/>
        <sz val="11"/>
        <color theme="1"/>
        <rFont val="Calibri"/>
        <family val="2"/>
        <scheme val="minor"/>
      </rPr>
      <t>46</t>
    </r>
    <r>
      <rPr>
        <sz val="11"/>
        <color theme="1"/>
        <rFont val="Calibri"/>
        <family val="2"/>
        <scheme val="minor"/>
      </rPr>
      <t>(10), 1–16. https://doi.org/10.1029/2009WR008719</t>
    </r>
  </si>
  <si>
    <r>
      <t xml:space="preserve">Pennington, B. T., Sturt, F., Wilson, P., Rowland, J., &amp; Brown, A. G. (2017). The fluvial evolution of the Holocene Nile Delta. </t>
    </r>
    <r>
      <rPr>
        <i/>
        <sz val="11"/>
        <color theme="1"/>
        <rFont val="Calibri"/>
        <family val="2"/>
        <scheme val="minor"/>
      </rPr>
      <t>Quaternary Science Reviews</t>
    </r>
    <r>
      <rPr>
        <sz val="11"/>
        <color theme="1"/>
        <rFont val="Calibri"/>
        <family val="2"/>
        <scheme val="minor"/>
      </rPr>
      <t xml:space="preserve">, </t>
    </r>
    <r>
      <rPr>
        <i/>
        <sz val="11"/>
        <color theme="1"/>
        <rFont val="Calibri"/>
        <family val="2"/>
        <scheme val="minor"/>
      </rPr>
      <t>170</t>
    </r>
    <r>
      <rPr>
        <sz val="11"/>
        <color theme="1"/>
        <rFont val="Calibri"/>
        <family val="2"/>
        <scheme val="minor"/>
      </rPr>
      <t>, 212–231. https://doi.org/10.1016/j.quascirev.2017.06.017</t>
    </r>
  </si>
  <si>
    <r>
      <t xml:space="preserve">Van Pham, H., van Geer, F. C., Tran, V. B., Dubelaar, W., &amp; Oude Essink, G. H. P. (2019). Paleo-hydrogeological reconstruction of the fresh-saline groundwater distribution in the Vietnamese Mekong Delta since the late Pleistocene. </t>
    </r>
    <r>
      <rPr>
        <i/>
        <sz val="11"/>
        <color theme="1"/>
        <rFont val="Calibri"/>
        <family val="2"/>
        <scheme val="minor"/>
      </rPr>
      <t>Journal of Hydrology: Regional Studies</t>
    </r>
    <r>
      <rPr>
        <sz val="11"/>
        <color theme="1"/>
        <rFont val="Calibri"/>
        <family val="2"/>
        <scheme val="minor"/>
      </rPr>
      <t xml:space="preserve">, </t>
    </r>
    <r>
      <rPr>
        <i/>
        <sz val="11"/>
        <color theme="1"/>
        <rFont val="Calibri"/>
        <family val="2"/>
        <scheme val="minor"/>
      </rPr>
      <t>23</t>
    </r>
    <r>
      <rPr>
        <sz val="11"/>
        <color theme="1"/>
        <rFont val="Calibri"/>
        <family val="2"/>
        <scheme val="minor"/>
      </rPr>
      <t>, 22.</t>
    </r>
  </si>
  <si>
    <r>
      <t xml:space="preserve">Prabaharan, S., Lakshumanan, C., &amp; Subramani, T. (2018). Geomorphic Anomalies and Natural Resource of Krishna Godavari Basin Using Remote Sensing Techniques. </t>
    </r>
    <r>
      <rPr>
        <i/>
        <sz val="11"/>
        <color theme="1"/>
        <rFont val="Calibri"/>
        <family val="2"/>
        <scheme val="minor"/>
      </rPr>
      <t>International Journal of Earth Sciences and Engineering</t>
    </r>
    <r>
      <rPr>
        <sz val="11"/>
        <color theme="1"/>
        <rFont val="Calibri"/>
        <family val="2"/>
        <scheme val="minor"/>
      </rPr>
      <t xml:space="preserve">, </t>
    </r>
    <r>
      <rPr>
        <i/>
        <sz val="11"/>
        <color theme="1"/>
        <rFont val="Calibri"/>
        <family val="2"/>
        <scheme val="minor"/>
      </rPr>
      <t>11</t>
    </r>
    <r>
      <rPr>
        <sz val="11"/>
        <color theme="1"/>
        <rFont val="Calibri"/>
        <family val="2"/>
        <scheme val="minor"/>
      </rPr>
      <t>(01), 35–40. https://doi.org/10.21276/ijee.2018.11.0106</t>
    </r>
  </si>
  <si>
    <r>
      <t xml:space="preserve">Ricketts, B. D. (1998). Geological setting of the Fraser River delta. In J. J. Clague, J. L. Luternauer, &amp; D. C. Mosher (Eds.), </t>
    </r>
    <r>
      <rPr>
        <i/>
        <sz val="11"/>
        <color theme="1"/>
        <rFont val="Calibri"/>
        <family val="2"/>
        <scheme val="minor"/>
      </rPr>
      <t>Geology and Natural Hazards of the Fraser River Delta, British Columbia</t>
    </r>
    <r>
      <rPr>
        <sz val="11"/>
        <color theme="1"/>
        <rFont val="Calibri"/>
        <family val="2"/>
        <scheme val="minor"/>
      </rPr>
      <t xml:space="preserve"> (pp. 7–16). Bulletin of the Geological Survey of Canada.</t>
    </r>
  </si>
  <si>
    <r>
      <t xml:space="preserve">Sahoo, S., &amp; Jha, M. K. (2017). Numerical groundwater-flow modeling to evaluate potential effects of pumping and recharge: implications for sustainable groundwater management in the Mahanadi delta region, IndiaModélisation numérique des écoulements d’eau souterraine pour évaluer les eff. </t>
    </r>
    <r>
      <rPr>
        <i/>
        <sz val="11"/>
        <color theme="1"/>
        <rFont val="Calibri"/>
        <family val="2"/>
        <scheme val="minor"/>
      </rPr>
      <t>Hydrogeology Journal</t>
    </r>
    <r>
      <rPr>
        <sz val="11"/>
        <color theme="1"/>
        <rFont val="Calibri"/>
        <family val="2"/>
        <scheme val="minor"/>
      </rPr>
      <t xml:space="preserve">, </t>
    </r>
    <r>
      <rPr>
        <i/>
        <sz val="11"/>
        <color theme="1"/>
        <rFont val="Calibri"/>
        <family val="2"/>
        <scheme val="minor"/>
      </rPr>
      <t>25</t>
    </r>
    <r>
      <rPr>
        <sz val="11"/>
        <color theme="1"/>
        <rFont val="Calibri"/>
        <family val="2"/>
        <scheme val="minor"/>
      </rPr>
      <t>(8), 2489–2511. https://doi.org/10.1007/s10040-017-1610-4</t>
    </r>
  </si>
  <si>
    <r>
      <t xml:space="preserve">Saito, Y., Yang, Z., &amp; Hori, K. (2001). The Huanghe Yellow River and Changjiang Yangtze River deltas: a review on their characteristics, evolution and sediment discharge during the Holocene. </t>
    </r>
    <r>
      <rPr>
        <i/>
        <sz val="11"/>
        <color theme="1"/>
        <rFont val="Calibri"/>
        <family val="2"/>
        <scheme val="minor"/>
      </rPr>
      <t>Geomorphology</t>
    </r>
    <r>
      <rPr>
        <sz val="11"/>
        <color theme="1"/>
        <rFont val="Calibri"/>
        <family val="2"/>
        <scheme val="minor"/>
      </rPr>
      <t xml:space="preserve">, </t>
    </r>
    <r>
      <rPr>
        <i/>
        <sz val="11"/>
        <color theme="1"/>
        <rFont val="Calibri"/>
        <family val="2"/>
        <scheme val="minor"/>
      </rPr>
      <t>41</t>
    </r>
    <r>
      <rPr>
        <sz val="11"/>
        <color theme="1"/>
        <rFont val="Calibri"/>
        <family val="2"/>
        <scheme val="minor"/>
      </rPr>
      <t>, 219–231.</t>
    </r>
  </si>
  <si>
    <r>
      <t xml:space="preserve">Samsudin, A. R., Haryono, A., Hamzah, U., &amp; Rafek, A. G. (2008). Salinity mapping of coastal groundwater aquifers using hydrogeochemical and geophysical methods: A case study from north Kelantan, Malaysia. </t>
    </r>
    <r>
      <rPr>
        <i/>
        <sz val="11"/>
        <color theme="1"/>
        <rFont val="Calibri"/>
        <family val="2"/>
        <scheme val="minor"/>
      </rPr>
      <t>Environmental Geology</t>
    </r>
    <r>
      <rPr>
        <sz val="11"/>
        <color theme="1"/>
        <rFont val="Calibri"/>
        <family val="2"/>
        <scheme val="minor"/>
      </rPr>
      <t xml:space="preserve">, </t>
    </r>
    <r>
      <rPr>
        <i/>
        <sz val="11"/>
        <color theme="1"/>
        <rFont val="Calibri"/>
        <family val="2"/>
        <scheme val="minor"/>
      </rPr>
      <t>55</t>
    </r>
    <r>
      <rPr>
        <sz val="11"/>
        <color theme="1"/>
        <rFont val="Calibri"/>
        <family val="2"/>
        <scheme val="minor"/>
      </rPr>
      <t>(8), 1737–1743. https://doi.org/10.1007/s00254-007-1124-9</t>
    </r>
  </si>
  <si>
    <r>
      <t xml:space="preserve">Samsudin, Abdul Rahim, Hamzah, U., &amp; Rafek, G. (1997). Salinity study of coastal groundwater aquifers in north Kelantan , Malaysia. </t>
    </r>
    <r>
      <rPr>
        <i/>
        <sz val="11"/>
        <color theme="1"/>
        <rFont val="Calibri"/>
        <family val="2"/>
        <scheme val="minor"/>
      </rPr>
      <t>Abbual Geological Conference ’97</t>
    </r>
    <r>
      <rPr>
        <sz val="11"/>
        <color theme="1"/>
        <rFont val="Calibri"/>
        <family val="2"/>
        <scheme val="minor"/>
      </rPr>
      <t>.</t>
    </r>
  </si>
  <si>
    <r>
      <t xml:space="preserve">Sanford, W. E., &amp; Buapeng, S. (1996). Assessment of a groundwater flow model of the bangkok basin, Thailand. </t>
    </r>
    <r>
      <rPr>
        <i/>
        <sz val="11"/>
        <color theme="1"/>
        <rFont val="Calibri"/>
        <family val="2"/>
        <scheme val="minor"/>
      </rPr>
      <t>Hydrogeology Journal</t>
    </r>
    <r>
      <rPr>
        <sz val="11"/>
        <color theme="1"/>
        <rFont val="Calibri"/>
        <family val="2"/>
        <scheme val="minor"/>
      </rPr>
      <t xml:space="preserve">, </t>
    </r>
    <r>
      <rPr>
        <i/>
        <sz val="11"/>
        <color theme="1"/>
        <rFont val="Calibri"/>
        <family val="2"/>
        <scheme val="minor"/>
      </rPr>
      <t>4</t>
    </r>
    <r>
      <rPr>
        <sz val="11"/>
        <color theme="1"/>
        <rFont val="Calibri"/>
        <family val="2"/>
        <scheme val="minor"/>
      </rPr>
      <t>(4).</t>
    </r>
  </si>
  <si>
    <r>
      <t xml:space="preserve">Savenije, H. H. G. (2012). </t>
    </r>
    <r>
      <rPr>
        <i/>
        <sz val="11"/>
        <color theme="1"/>
        <rFont val="Calibri"/>
        <family val="2"/>
        <scheme val="minor"/>
      </rPr>
      <t>Salinity and tides in alluvial estuaries</t>
    </r>
    <r>
      <rPr>
        <sz val="11"/>
        <color theme="1"/>
        <rFont val="Calibri"/>
        <family val="2"/>
        <scheme val="minor"/>
      </rPr>
      <t xml:space="preserve">. </t>
    </r>
    <r>
      <rPr>
        <i/>
        <sz val="11"/>
        <color theme="1"/>
        <rFont val="Calibri"/>
        <family val="2"/>
        <scheme val="minor"/>
      </rPr>
      <t>Open Access</t>
    </r>
    <r>
      <rPr>
        <sz val="11"/>
        <color theme="1"/>
        <rFont val="Calibri"/>
        <family val="2"/>
        <scheme val="minor"/>
      </rPr>
      <t>. https://doi.org/http://dx.doi.org/10.1016/B978-044452107-1/50006-X</t>
    </r>
  </si>
  <si>
    <r>
      <t xml:space="preserve">Sestini, G. (1989). Nile Delta: a review of depositional environments and geological history. </t>
    </r>
    <r>
      <rPr>
        <i/>
        <sz val="11"/>
        <color theme="1"/>
        <rFont val="Calibri"/>
        <family val="2"/>
        <scheme val="minor"/>
      </rPr>
      <t>Geological Society, London, Special Publications</t>
    </r>
    <r>
      <rPr>
        <sz val="11"/>
        <color theme="1"/>
        <rFont val="Calibri"/>
        <family val="2"/>
        <scheme val="minor"/>
      </rPr>
      <t xml:space="preserve">, </t>
    </r>
    <r>
      <rPr>
        <i/>
        <sz val="11"/>
        <color theme="1"/>
        <rFont val="Calibri"/>
        <family val="2"/>
        <scheme val="minor"/>
      </rPr>
      <t>41</t>
    </r>
    <r>
      <rPr>
        <sz val="11"/>
        <color theme="1"/>
        <rFont val="Calibri"/>
        <family val="2"/>
        <scheme val="minor"/>
      </rPr>
      <t>(1), 99–127. https://doi.org/10.1144/GSL.SP.1989.041.01.09</t>
    </r>
  </si>
  <si>
    <r>
      <t xml:space="preserve">Shi, X., Fang, R., Wu, J., Xu, H., Sun, Y. Y., &amp; Yu, J. (2012). Sustainable development and utilization of groundwater resources considering land subsidence in Suzhou, China. </t>
    </r>
    <r>
      <rPr>
        <i/>
        <sz val="11"/>
        <color theme="1"/>
        <rFont val="Calibri"/>
        <family val="2"/>
        <scheme val="minor"/>
      </rPr>
      <t>Engineering Geology</t>
    </r>
    <r>
      <rPr>
        <sz val="11"/>
        <color theme="1"/>
        <rFont val="Calibri"/>
        <family val="2"/>
        <scheme val="minor"/>
      </rPr>
      <t xml:space="preserve">, </t>
    </r>
    <r>
      <rPr>
        <i/>
        <sz val="11"/>
        <color theme="1"/>
        <rFont val="Calibri"/>
        <family val="2"/>
        <scheme val="minor"/>
      </rPr>
      <t>124</t>
    </r>
    <r>
      <rPr>
        <sz val="11"/>
        <color theme="1"/>
        <rFont val="Calibri"/>
        <family val="2"/>
        <scheme val="minor"/>
      </rPr>
      <t>(1), 77–89. https://doi.org/10.1016/j.enggeo.2011.10.005</t>
    </r>
  </si>
  <si>
    <r>
      <t xml:space="preserve">Sinsakul, S. (2000). Late Quaternary geology of the Lower Central Plain, Thailand. </t>
    </r>
    <r>
      <rPr>
        <i/>
        <sz val="11"/>
        <color theme="1"/>
        <rFont val="Calibri"/>
        <family val="2"/>
        <scheme val="minor"/>
      </rPr>
      <t>Journal of Asian Earth Sciences</t>
    </r>
    <r>
      <rPr>
        <sz val="11"/>
        <color theme="1"/>
        <rFont val="Calibri"/>
        <family val="2"/>
        <scheme val="minor"/>
      </rPr>
      <t xml:space="preserve">, </t>
    </r>
    <r>
      <rPr>
        <i/>
        <sz val="11"/>
        <color theme="1"/>
        <rFont val="Calibri"/>
        <family val="2"/>
        <scheme val="minor"/>
      </rPr>
      <t>18</t>
    </r>
    <r>
      <rPr>
        <sz val="11"/>
        <color theme="1"/>
        <rFont val="Calibri"/>
        <family val="2"/>
        <scheme val="minor"/>
      </rPr>
      <t>(4), 415–426. https://doi.org/10.1016/S1367-9120(99)00075-9</t>
    </r>
  </si>
  <si>
    <r>
      <t xml:space="preserve">Stanley, D. J., &amp; Warne, A. G. (1993). Nile Delta: Recent Geological Evolution and Human Impact. </t>
    </r>
    <r>
      <rPr>
        <i/>
        <sz val="11"/>
        <color theme="1"/>
        <rFont val="Calibri"/>
        <family val="2"/>
        <scheme val="minor"/>
      </rPr>
      <t>Science</t>
    </r>
    <r>
      <rPr>
        <sz val="11"/>
        <color theme="1"/>
        <rFont val="Calibri"/>
        <family val="2"/>
        <scheme val="minor"/>
      </rPr>
      <t xml:space="preserve">, </t>
    </r>
    <r>
      <rPr>
        <i/>
        <sz val="11"/>
        <color theme="1"/>
        <rFont val="Calibri"/>
        <family val="2"/>
        <scheme val="minor"/>
      </rPr>
      <t>260</t>
    </r>
    <r>
      <rPr>
        <sz val="11"/>
        <color theme="1"/>
        <rFont val="Calibri"/>
        <family val="2"/>
        <scheme val="minor"/>
      </rPr>
      <t>(5108), 628–634. https://doi.org/10.1126/science.260.5108.628</t>
    </r>
  </si>
  <si>
    <r>
      <t xml:space="preserve">Szpakowski, W. (2007). Numerical simulation of the Quaternary Aquifer groundwater flow of Northern Vistula delta plain. </t>
    </r>
    <r>
      <rPr>
        <i/>
        <sz val="11"/>
        <color theme="1"/>
        <rFont val="Calibri"/>
        <family val="2"/>
        <scheme val="minor"/>
      </rPr>
      <t>TASK Quarterly</t>
    </r>
    <r>
      <rPr>
        <sz val="11"/>
        <color theme="1"/>
        <rFont val="Calibri"/>
        <family val="2"/>
        <scheme val="minor"/>
      </rPr>
      <t xml:space="preserve">, </t>
    </r>
    <r>
      <rPr>
        <i/>
        <sz val="11"/>
        <color theme="1"/>
        <rFont val="Calibri"/>
        <family val="2"/>
        <scheme val="minor"/>
      </rPr>
      <t>11</t>
    </r>
    <r>
      <rPr>
        <sz val="11"/>
        <color theme="1"/>
        <rFont val="Calibri"/>
        <family val="2"/>
        <scheme val="minor"/>
      </rPr>
      <t>(4), 411–424.</t>
    </r>
  </si>
  <si>
    <r>
      <t xml:space="preserve">Tamura, T., Saito, Y., Sieng, S., Ben, B., Kong, M., Sim, I., et al. (2009). Initiation of the Mekong River delta at 8 ka: evidence from the sedimentary succession in the Cambodian lowland. </t>
    </r>
    <r>
      <rPr>
        <i/>
        <sz val="11"/>
        <color theme="1"/>
        <rFont val="Calibri"/>
        <family val="2"/>
        <scheme val="minor"/>
      </rPr>
      <t>Quaternary Science Reviews</t>
    </r>
    <r>
      <rPr>
        <sz val="11"/>
        <color theme="1"/>
        <rFont val="Calibri"/>
        <family val="2"/>
        <scheme val="minor"/>
      </rPr>
      <t xml:space="preserve">, </t>
    </r>
    <r>
      <rPr>
        <i/>
        <sz val="11"/>
        <color theme="1"/>
        <rFont val="Calibri"/>
        <family val="2"/>
        <scheme val="minor"/>
      </rPr>
      <t>28</t>
    </r>
    <r>
      <rPr>
        <sz val="11"/>
        <color theme="1"/>
        <rFont val="Calibri"/>
        <family val="2"/>
        <scheme val="minor"/>
      </rPr>
      <t>(3–4), 327–344. https://doi.org/10.1016/j.quascirev.2008.10.010</t>
    </r>
  </si>
  <si>
    <r>
      <t xml:space="preserve">Teatini, P., Castelletto, N., Ferronato, M., Gambolati, G., &amp; Tosi, L. (2011). A new hydrogeologic model to predict anthropogenic uplift of Venice. </t>
    </r>
    <r>
      <rPr>
        <i/>
        <sz val="11"/>
        <color theme="1"/>
        <rFont val="Calibri"/>
        <family val="2"/>
        <scheme val="minor"/>
      </rPr>
      <t>Water Resources Research</t>
    </r>
    <r>
      <rPr>
        <sz val="11"/>
        <color theme="1"/>
        <rFont val="Calibri"/>
        <family val="2"/>
        <scheme val="minor"/>
      </rPr>
      <t xml:space="preserve">, </t>
    </r>
    <r>
      <rPr>
        <i/>
        <sz val="11"/>
        <color theme="1"/>
        <rFont val="Calibri"/>
        <family val="2"/>
        <scheme val="minor"/>
      </rPr>
      <t>47</t>
    </r>
    <r>
      <rPr>
        <sz val="11"/>
        <color theme="1"/>
        <rFont val="Calibri"/>
        <family val="2"/>
        <scheme val="minor"/>
      </rPr>
      <t>(12), 1–17. https://doi.org/10.1029/2011WR010900</t>
    </r>
  </si>
  <si>
    <r>
      <t xml:space="preserve">Thompson, C., Smith, L., &amp; Maji, R. (2007). Hydrogeological modeling of submarine groundwater discharge on the continental shelf of Louisiana. </t>
    </r>
    <r>
      <rPr>
        <i/>
        <sz val="11"/>
        <color theme="1"/>
        <rFont val="Calibri"/>
        <family val="2"/>
        <scheme val="minor"/>
      </rPr>
      <t>Journal of Geophysical Research: Oceans</t>
    </r>
    <r>
      <rPr>
        <sz val="11"/>
        <color theme="1"/>
        <rFont val="Calibri"/>
        <family val="2"/>
        <scheme val="minor"/>
      </rPr>
      <t xml:space="preserve">, </t>
    </r>
    <r>
      <rPr>
        <i/>
        <sz val="11"/>
        <color theme="1"/>
        <rFont val="Calibri"/>
        <family val="2"/>
        <scheme val="minor"/>
      </rPr>
      <t>112</t>
    </r>
    <r>
      <rPr>
        <sz val="11"/>
        <color theme="1"/>
        <rFont val="Calibri"/>
        <family val="2"/>
        <scheme val="minor"/>
      </rPr>
      <t>(3), 1–13. https://doi.org/10.1029/2006JC003557</t>
    </r>
  </si>
  <si>
    <r>
      <t xml:space="preserve">UN-ESCWA, &amp; BGR. (2013). Neogene Aquifer System Dibdibba-Kuwait Group (South-East): Dibdibba Delta Basin. </t>
    </r>
    <r>
      <rPr>
        <i/>
        <sz val="11"/>
        <color theme="1"/>
        <rFont val="Calibri"/>
        <family val="2"/>
        <scheme val="minor"/>
      </rPr>
      <t>Inventory of Shared Water Resources in Western Asia</t>
    </r>
    <r>
      <rPr>
        <sz val="11"/>
        <color theme="1"/>
        <rFont val="Calibri"/>
        <family val="2"/>
        <scheme val="minor"/>
      </rPr>
      <t>.</t>
    </r>
  </si>
  <si>
    <r>
      <t xml:space="preserve">Viossanges, M., Johnston, R., &amp; Drury, L. (2017). </t>
    </r>
    <r>
      <rPr>
        <i/>
        <sz val="11"/>
        <color theme="1"/>
        <rFont val="Calibri"/>
        <family val="2"/>
        <scheme val="minor"/>
      </rPr>
      <t>SOBA 2A: Groundwater Resources</t>
    </r>
    <r>
      <rPr>
        <sz val="11"/>
        <color theme="1"/>
        <rFont val="Calibri"/>
        <family val="2"/>
        <scheme val="minor"/>
      </rPr>
      <t xml:space="preserve">. </t>
    </r>
    <r>
      <rPr>
        <i/>
        <sz val="11"/>
        <color theme="1"/>
        <rFont val="Calibri"/>
        <family val="2"/>
        <scheme val="minor"/>
      </rPr>
      <t>AYEYARWADY STATE OF THE BASIN ASSESSMENT (SOBA)</t>
    </r>
    <r>
      <rPr>
        <sz val="11"/>
        <color theme="1"/>
        <rFont val="Calibri"/>
        <family val="2"/>
        <scheme val="minor"/>
      </rPr>
      <t xml:space="preserve"> (Vol. 2). https://doi.org/10.1016/S0167-5648(08)70868-2</t>
    </r>
  </si>
  <si>
    <r>
      <t xml:space="preserve">Wang, Y., &amp; Jiao, J. J. (2012). Origin of groundwater salinity and hydrogeochemical processes in the confined Quaternary aquifer of the Pearl River Delta, China. </t>
    </r>
    <r>
      <rPr>
        <i/>
        <sz val="11"/>
        <color theme="1"/>
        <rFont val="Calibri"/>
        <family val="2"/>
        <scheme val="minor"/>
      </rPr>
      <t>Journal of Hydrology</t>
    </r>
    <r>
      <rPr>
        <sz val="11"/>
        <color theme="1"/>
        <rFont val="Calibri"/>
        <family val="2"/>
        <scheme val="minor"/>
      </rPr>
      <t xml:space="preserve">, </t>
    </r>
    <r>
      <rPr>
        <i/>
        <sz val="11"/>
        <color theme="1"/>
        <rFont val="Calibri"/>
        <family val="2"/>
        <scheme val="minor"/>
      </rPr>
      <t>438</t>
    </r>
    <r>
      <rPr>
        <sz val="11"/>
        <color theme="1"/>
        <rFont val="Calibri"/>
        <family val="2"/>
        <scheme val="minor"/>
      </rPr>
      <t>–</t>
    </r>
    <r>
      <rPr>
        <i/>
        <sz val="11"/>
        <color theme="1"/>
        <rFont val="Calibri"/>
        <family val="2"/>
        <scheme val="minor"/>
      </rPr>
      <t>439</t>
    </r>
    <r>
      <rPr>
        <sz val="11"/>
        <color theme="1"/>
        <rFont val="Calibri"/>
        <family val="2"/>
        <scheme val="minor"/>
      </rPr>
      <t>, 112–124. https://doi.org/10.1016/j.jhydrol.2012.03.008</t>
    </r>
  </si>
  <si>
    <r>
      <t xml:space="preserve">Winkel, L. H. E., Pham, T. K. T., Vi, M. L., Stengel, C., Amini, M., Nguyen, T. H., et al. (2011). Arsenic pollution of groundwater in Vietnam exacerbated by deep aquifer exploitation for more than a century. </t>
    </r>
    <r>
      <rPr>
        <i/>
        <sz val="11"/>
        <color theme="1"/>
        <rFont val="Calibri"/>
        <family val="2"/>
        <scheme val="minor"/>
      </rPr>
      <t>Proceedings of the National Academy of Sciences of the United States of America</t>
    </r>
    <r>
      <rPr>
        <sz val="11"/>
        <color theme="1"/>
        <rFont val="Calibri"/>
        <family val="2"/>
        <scheme val="minor"/>
      </rPr>
      <t xml:space="preserve">, </t>
    </r>
    <r>
      <rPr>
        <i/>
        <sz val="11"/>
        <color theme="1"/>
        <rFont val="Calibri"/>
        <family val="2"/>
        <scheme val="minor"/>
      </rPr>
      <t>108</t>
    </r>
    <r>
      <rPr>
        <sz val="11"/>
        <color theme="1"/>
        <rFont val="Calibri"/>
        <family val="2"/>
        <scheme val="minor"/>
      </rPr>
      <t>(4), 1246–1251. https://doi.org/10.1073/pnas.1011915108</t>
    </r>
  </si>
  <si>
    <r>
      <t xml:space="preserve">Xue, Y. Q., Wu, J. C., Zhang, Y., Ye, S. J., Shi, X. Q., Wei, Z. X., et al. (2008). Simulation of regional land subsidence in the southern Yangtze Delta. </t>
    </r>
    <r>
      <rPr>
        <i/>
        <sz val="11"/>
        <color theme="1"/>
        <rFont val="Calibri"/>
        <family val="2"/>
        <scheme val="minor"/>
      </rPr>
      <t>Science in China, Series D: Earth Sciences</t>
    </r>
    <r>
      <rPr>
        <sz val="11"/>
        <color theme="1"/>
        <rFont val="Calibri"/>
        <family val="2"/>
        <scheme val="minor"/>
      </rPr>
      <t xml:space="preserve">, </t>
    </r>
    <r>
      <rPr>
        <i/>
        <sz val="11"/>
        <color theme="1"/>
        <rFont val="Calibri"/>
        <family val="2"/>
        <scheme val="minor"/>
      </rPr>
      <t>51</t>
    </r>
    <r>
      <rPr>
        <sz val="11"/>
        <color theme="1"/>
        <rFont val="Calibri"/>
        <family val="2"/>
        <scheme val="minor"/>
      </rPr>
      <t>(6), 808–825. https://doi.org/10.1007/s11430-008-0062-z</t>
    </r>
  </si>
  <si>
    <r>
      <t xml:space="preserve">Yidana, S. M., &amp; Chegbeleh, L. P. (2013). The hydraulic conductivity field and groundwater flow in the unconfined aquifer system of the Keta Strip, Ghana. </t>
    </r>
    <r>
      <rPr>
        <i/>
        <sz val="11"/>
        <color theme="1"/>
        <rFont val="Calibri"/>
        <family val="2"/>
        <scheme val="minor"/>
      </rPr>
      <t>Journal of African Earth Sciences</t>
    </r>
    <r>
      <rPr>
        <sz val="11"/>
        <color theme="1"/>
        <rFont val="Calibri"/>
        <family val="2"/>
        <scheme val="minor"/>
      </rPr>
      <t xml:space="preserve">, </t>
    </r>
    <r>
      <rPr>
        <i/>
        <sz val="11"/>
        <color theme="1"/>
        <rFont val="Calibri"/>
        <family val="2"/>
        <scheme val="minor"/>
      </rPr>
      <t>86</t>
    </r>
    <r>
      <rPr>
        <sz val="11"/>
        <color theme="1"/>
        <rFont val="Calibri"/>
        <family val="2"/>
        <scheme val="minor"/>
      </rPr>
      <t>, 45–52. https://doi.org/10.1016/j.jafrearsci.2013.06.009</t>
    </r>
  </si>
  <si>
    <r>
      <t xml:space="preserve">Yoo, D.-G., Lee, G.-S., Kang, N.-K., Yi, B.-Y., Kong, G.-S., Kim, G.-Y., et al. (2017). Stratigraphy and depositional history of Nakdong River Delta. </t>
    </r>
    <r>
      <rPr>
        <i/>
        <sz val="11"/>
        <color theme="1"/>
        <rFont val="Calibri"/>
        <family val="2"/>
        <scheme val="minor"/>
      </rPr>
      <t>Journal of the Geological Society of Korea</t>
    </r>
    <r>
      <rPr>
        <sz val="11"/>
        <color theme="1"/>
        <rFont val="Calibri"/>
        <family val="2"/>
        <scheme val="minor"/>
      </rPr>
      <t xml:space="preserve">, </t>
    </r>
    <r>
      <rPr>
        <i/>
        <sz val="11"/>
        <color theme="1"/>
        <rFont val="Calibri"/>
        <family val="2"/>
        <scheme val="minor"/>
      </rPr>
      <t>53</t>
    </r>
    <r>
      <rPr>
        <sz val="11"/>
        <color theme="1"/>
        <rFont val="Calibri"/>
        <family val="2"/>
        <scheme val="minor"/>
      </rPr>
      <t>(5), 619–630. https://doi.org/10.14770/jgsk.2017.53.5.619</t>
    </r>
  </si>
  <si>
    <r>
      <t xml:space="preserve">Zong, Y., Huang, G., Switzer, A. D., Yu, F., &amp; Yim, W. W. S. (2009). An evolutionary model for the Holocene formation of the Pearl River delta, China. </t>
    </r>
    <r>
      <rPr>
        <i/>
        <sz val="11"/>
        <color theme="1"/>
        <rFont val="Calibri"/>
        <family val="2"/>
        <scheme val="minor"/>
      </rPr>
      <t>Holocene</t>
    </r>
    <r>
      <rPr>
        <sz val="11"/>
        <color theme="1"/>
        <rFont val="Calibri"/>
        <family val="2"/>
        <scheme val="minor"/>
      </rPr>
      <t xml:space="preserve">, </t>
    </r>
    <r>
      <rPr>
        <i/>
        <sz val="11"/>
        <color theme="1"/>
        <rFont val="Calibri"/>
        <family val="2"/>
        <scheme val="minor"/>
      </rPr>
      <t>19</t>
    </r>
    <r>
      <rPr>
        <sz val="11"/>
        <color theme="1"/>
        <rFont val="Calibri"/>
        <family val="2"/>
        <scheme val="minor"/>
      </rPr>
      <t>(1), 129–142. https://doi.org/10.1177/0959683608098957</t>
    </r>
  </si>
  <si>
    <r>
      <t xml:space="preserve">Zong, Yongqiang, Huang, K., Yu, F., Zheng, Z., Switzer, A., Huang, G., et al. (2012). The role of sea-level rise, monsoonal discharge and the palaeo-landscape in the early Holocene evolution of the Pearl River delta, southern China. </t>
    </r>
    <r>
      <rPr>
        <i/>
        <sz val="11"/>
        <color theme="1"/>
        <rFont val="Calibri"/>
        <family val="2"/>
        <scheme val="minor"/>
      </rPr>
      <t>Quaternary Science Reviews</t>
    </r>
    <r>
      <rPr>
        <sz val="11"/>
        <color theme="1"/>
        <rFont val="Calibri"/>
        <family val="2"/>
        <scheme val="minor"/>
      </rPr>
      <t xml:space="preserve">, </t>
    </r>
    <r>
      <rPr>
        <i/>
        <sz val="11"/>
        <color theme="1"/>
        <rFont val="Calibri"/>
        <family val="2"/>
        <scheme val="minor"/>
      </rPr>
      <t>54</t>
    </r>
    <r>
      <rPr>
        <sz val="11"/>
        <color theme="1"/>
        <rFont val="Calibri"/>
        <family val="2"/>
        <scheme val="minor"/>
      </rPr>
      <t>, 77–88. https://doi.org/10.1016/j.quascirev.2012.01.002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</si>
</sst>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2" fontId="0" fillId="0" borderId="0" xfId="0" applyNumberFormat="1"/>
    <xf numFmtId="11" fontId="0" fillId="0" borderId="0" xfId="0" applyNumberFormat="1"/>
    <xf numFmtId="0" fontId="0" fillId="0" borderId="0" xfId="0" applyNumberFormat="1"/>
    <xf numFmtId="11" fontId="1" fillId="0" borderId="0" xfId="0" applyNumberFormat="1" applyFont="1"/>
    <xf numFmtId="2" fontId="1" fillId="0" borderId="0" xfId="0" applyNumberFormat="1" applyFont="1"/>
    <xf numFmtId="0" fontId="0" fillId="0" borderId="0" xfId="0" applyAlignment="1">
      <alignment wrapText="1"/>
    </xf>
    <xf numFmtId="1" fontId="0" fillId="0" borderId="0" xfId="0" applyNumberFormat="1"/>
    <xf numFmtId="0" fontId="0" fillId="0" borderId="0" xfId="0" applyAlignment="1">
      <alignment vertical="center"/>
    </xf>
    <xf numFmtId="0" fontId="0" fillId="0" borderId="0" xfId="0" applyAlignment="1">
      <alignment horizontal="left" vertical="center" indent="3"/>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0F585-CC39-4547-8D18-3D0396349B9E}">
  <dimension ref="A1:Q33"/>
  <sheetViews>
    <sheetView workbookViewId="0">
      <pane xSplit="1" ySplit="2" topLeftCell="C19" activePane="bottomRight" state="frozen"/>
      <selection pane="topRight" activeCell="B1" sqref="B1"/>
      <selection pane="bottomLeft" activeCell="A3" sqref="A3"/>
      <selection pane="bottomRight" activeCell="P32" sqref="P32"/>
    </sheetView>
  </sheetViews>
  <sheetFormatPr defaultRowHeight="15" x14ac:dyDescent="0.25"/>
  <cols>
    <col min="1" max="1" width="20.85546875" bestFit="1" customWidth="1"/>
    <col min="2" max="2" width="15.85546875" bestFit="1" customWidth="1"/>
    <col min="10" max="11" width="9.140625" style="3"/>
    <col min="13" max="13" width="12" bestFit="1" customWidth="1"/>
  </cols>
  <sheetData>
    <row r="1" spans="1:17" x14ac:dyDescent="0.25">
      <c r="A1" s="1" t="s">
        <v>0</v>
      </c>
      <c r="B1" s="1" t="s">
        <v>1</v>
      </c>
      <c r="C1" s="1" t="s">
        <v>265</v>
      </c>
      <c r="D1" s="1" t="s">
        <v>266</v>
      </c>
      <c r="E1" s="1" t="s">
        <v>247</v>
      </c>
      <c r="F1" s="1" t="s">
        <v>253</v>
      </c>
      <c r="G1" s="1" t="s">
        <v>254</v>
      </c>
      <c r="H1" s="1" t="s">
        <v>268</v>
      </c>
      <c r="I1" s="1" t="s">
        <v>258</v>
      </c>
      <c r="J1" s="5" t="s">
        <v>260</v>
      </c>
      <c r="K1" s="5" t="s">
        <v>267</v>
      </c>
      <c r="L1" s="1" t="s">
        <v>261</v>
      </c>
      <c r="M1" s="1" t="s">
        <v>263</v>
      </c>
      <c r="N1" s="1" t="s">
        <v>255</v>
      </c>
      <c r="O1" s="1" t="s">
        <v>256</v>
      </c>
      <c r="P1" s="1" t="s">
        <v>264</v>
      </c>
      <c r="Q1" s="1" t="s">
        <v>272</v>
      </c>
    </row>
    <row r="2" spans="1:17" x14ac:dyDescent="0.25">
      <c r="C2" s="1" t="s">
        <v>262</v>
      </c>
      <c r="D2" s="1" t="s">
        <v>262</v>
      </c>
      <c r="E2" s="1" t="s">
        <v>262</v>
      </c>
      <c r="F2" s="1" t="s">
        <v>257</v>
      </c>
      <c r="G2" s="1" t="s">
        <v>257</v>
      </c>
      <c r="H2" s="1" t="s">
        <v>166</v>
      </c>
      <c r="I2" s="1" t="s">
        <v>259</v>
      </c>
      <c r="J2" s="5" t="s">
        <v>259</v>
      </c>
      <c r="K2" s="5" t="s">
        <v>259</v>
      </c>
      <c r="L2" s="1" t="s">
        <v>269</v>
      </c>
      <c r="M2" s="1" t="s">
        <v>166</v>
      </c>
      <c r="N2" s="1" t="s">
        <v>166</v>
      </c>
      <c r="O2" s="1" t="s">
        <v>257</v>
      </c>
    </row>
    <row r="3" spans="1:17" x14ac:dyDescent="0.25">
      <c r="A3" t="s">
        <v>2</v>
      </c>
      <c r="B3" t="s">
        <v>3</v>
      </c>
      <c r="C3">
        <v>40</v>
      </c>
      <c r="D3">
        <v>800</v>
      </c>
      <c r="E3">
        <f>C3+D3</f>
        <v>840</v>
      </c>
      <c r="F3">
        <f>C3/E3</f>
        <v>4.7619047619047616E-2</v>
      </c>
      <c r="G3">
        <f>D3/E3</f>
        <v>0.95238095238095233</v>
      </c>
      <c r="H3">
        <v>160</v>
      </c>
      <c r="J3" s="3">
        <f>H3/(D3*1000)</f>
        <v>2.0000000000000001E-4</v>
      </c>
      <c r="M3" t="s">
        <v>103</v>
      </c>
      <c r="N3">
        <v>140</v>
      </c>
      <c r="O3" t="s">
        <v>103</v>
      </c>
      <c r="P3" t="s">
        <v>111</v>
      </c>
    </row>
    <row r="4" spans="1:17" x14ac:dyDescent="0.25">
      <c r="A4" t="s">
        <v>5</v>
      </c>
      <c r="B4" t="s">
        <v>6</v>
      </c>
      <c r="C4">
        <v>140</v>
      </c>
      <c r="D4">
        <v>1500</v>
      </c>
      <c r="E4">
        <f t="shared" ref="E4:E33" si="0">C4+D4</f>
        <v>1640</v>
      </c>
      <c r="F4">
        <f t="shared" ref="F4:F33" si="1">C4/E4</f>
        <v>8.5365853658536592E-2</v>
      </c>
      <c r="G4">
        <f t="shared" ref="G4:G33" si="2">D4/E4</f>
        <v>0.91463414634146345</v>
      </c>
      <c r="H4">
        <v>200</v>
      </c>
      <c r="I4" s="3">
        <v>3.0000000000000001E-5</v>
      </c>
      <c r="J4" s="3">
        <f t="shared" ref="J4:J33" si="3">H4/(D4*1000)</f>
        <v>1.3333333333333334E-4</v>
      </c>
      <c r="M4">
        <v>300</v>
      </c>
      <c r="N4">
        <v>600</v>
      </c>
      <c r="O4">
        <f>M4/N4</f>
        <v>0.5</v>
      </c>
      <c r="P4" t="s">
        <v>72</v>
      </c>
    </row>
    <row r="5" spans="1:17" x14ac:dyDescent="0.25">
      <c r="A5" t="s">
        <v>7</v>
      </c>
      <c r="B5" t="s">
        <v>8</v>
      </c>
      <c r="C5">
        <v>150</v>
      </c>
      <c r="D5">
        <v>1200</v>
      </c>
      <c r="E5">
        <f t="shared" si="0"/>
        <v>1350</v>
      </c>
      <c r="F5">
        <f t="shared" si="1"/>
        <v>0.1111111111111111</v>
      </c>
      <c r="G5">
        <f t="shared" si="2"/>
        <v>0.88888888888888884</v>
      </c>
      <c r="H5">
        <v>200</v>
      </c>
      <c r="J5" s="3">
        <f t="shared" si="3"/>
        <v>1.6666666666666666E-4</v>
      </c>
      <c r="M5">
        <v>180</v>
      </c>
      <c r="N5">
        <v>280</v>
      </c>
      <c r="O5">
        <f t="shared" ref="O5:O28" si="4">M5/N5</f>
        <v>0.6428571428571429</v>
      </c>
      <c r="P5" t="s">
        <v>81</v>
      </c>
    </row>
    <row r="6" spans="1:17" x14ac:dyDescent="0.25">
      <c r="A6" t="s">
        <v>9</v>
      </c>
      <c r="B6" t="s">
        <v>10</v>
      </c>
      <c r="C6">
        <v>160</v>
      </c>
      <c r="D6">
        <v>250</v>
      </c>
      <c r="E6">
        <f t="shared" si="0"/>
        <v>410</v>
      </c>
      <c r="F6">
        <f t="shared" si="1"/>
        <v>0.3902439024390244</v>
      </c>
      <c r="G6">
        <f t="shared" si="2"/>
        <v>0.6097560975609756</v>
      </c>
      <c r="H6">
        <v>250</v>
      </c>
      <c r="J6" s="3">
        <f t="shared" si="3"/>
        <v>1E-3</v>
      </c>
      <c r="K6" s="3">
        <v>2.1999999999999999E-2</v>
      </c>
      <c r="M6">
        <v>15</v>
      </c>
      <c r="N6">
        <v>50</v>
      </c>
      <c r="O6">
        <f t="shared" si="4"/>
        <v>0.3</v>
      </c>
      <c r="P6" t="s">
        <v>76</v>
      </c>
    </row>
    <row r="7" spans="1:17" x14ac:dyDescent="0.25">
      <c r="A7" t="s">
        <v>11</v>
      </c>
      <c r="B7" t="s">
        <v>10</v>
      </c>
      <c r="C7">
        <v>240</v>
      </c>
      <c r="D7">
        <v>500</v>
      </c>
      <c r="E7">
        <f t="shared" si="0"/>
        <v>740</v>
      </c>
      <c r="F7">
        <f t="shared" si="1"/>
        <v>0.32432432432432434</v>
      </c>
      <c r="G7">
        <f t="shared" si="2"/>
        <v>0.67567567567567566</v>
      </c>
      <c r="H7">
        <v>150</v>
      </c>
      <c r="I7" s="3">
        <v>6.0000000000000002E-5</v>
      </c>
      <c r="J7" s="3">
        <f t="shared" si="3"/>
        <v>2.9999999999999997E-4</v>
      </c>
      <c r="M7" t="s">
        <v>124</v>
      </c>
      <c r="N7">
        <v>250</v>
      </c>
      <c r="O7" t="s">
        <v>103</v>
      </c>
      <c r="P7" t="s">
        <v>125</v>
      </c>
    </row>
    <row r="8" spans="1:17" x14ac:dyDescent="0.25">
      <c r="A8" t="s">
        <v>12</v>
      </c>
      <c r="B8" t="s">
        <v>13</v>
      </c>
      <c r="C8">
        <v>140</v>
      </c>
      <c r="D8">
        <v>500</v>
      </c>
      <c r="E8">
        <f t="shared" si="0"/>
        <v>640</v>
      </c>
      <c r="F8">
        <f t="shared" si="1"/>
        <v>0.21875</v>
      </c>
      <c r="G8">
        <f t="shared" si="2"/>
        <v>0.78125</v>
      </c>
      <c r="H8">
        <v>177</v>
      </c>
      <c r="I8" s="3">
        <v>5.0000000000000002E-5</v>
      </c>
      <c r="J8" s="3">
        <f t="shared" si="3"/>
        <v>3.5399999999999999E-4</v>
      </c>
      <c r="M8">
        <v>40</v>
      </c>
      <c r="N8">
        <v>150</v>
      </c>
      <c r="O8">
        <f t="shared" si="4"/>
        <v>0.26666666666666666</v>
      </c>
      <c r="P8" t="s">
        <v>73</v>
      </c>
    </row>
    <row r="9" spans="1:17" x14ac:dyDescent="0.25">
      <c r="A9" t="s">
        <v>14</v>
      </c>
      <c r="B9" t="s">
        <v>15</v>
      </c>
      <c r="C9">
        <v>330</v>
      </c>
      <c r="D9">
        <v>200</v>
      </c>
      <c r="E9">
        <f t="shared" si="0"/>
        <v>530</v>
      </c>
      <c r="F9">
        <f t="shared" si="1"/>
        <v>0.62264150943396224</v>
      </c>
      <c r="G9">
        <f t="shared" si="2"/>
        <v>0.37735849056603776</v>
      </c>
      <c r="H9">
        <v>100</v>
      </c>
      <c r="I9" s="3">
        <v>9.0000000000000006E-5</v>
      </c>
      <c r="J9" s="3">
        <f t="shared" si="3"/>
        <v>5.0000000000000001E-4</v>
      </c>
      <c r="M9">
        <v>250</v>
      </c>
      <c r="N9">
        <v>500</v>
      </c>
      <c r="O9">
        <f t="shared" si="4"/>
        <v>0.5</v>
      </c>
      <c r="P9" t="s">
        <v>180</v>
      </c>
    </row>
    <row r="10" spans="1:17" x14ac:dyDescent="0.25">
      <c r="A10" t="s">
        <v>16</v>
      </c>
      <c r="B10" t="s">
        <v>10</v>
      </c>
      <c r="C10">
        <v>660</v>
      </c>
      <c r="D10">
        <v>1000</v>
      </c>
      <c r="E10">
        <f t="shared" si="0"/>
        <v>1660</v>
      </c>
      <c r="F10">
        <f t="shared" si="1"/>
        <v>0.39759036144578314</v>
      </c>
      <c r="G10">
        <f t="shared" si="2"/>
        <v>0.60240963855421692</v>
      </c>
      <c r="H10">
        <v>150</v>
      </c>
      <c r="I10" s="3">
        <v>1E-3</v>
      </c>
      <c r="J10" s="3">
        <f t="shared" si="3"/>
        <v>1.4999999999999999E-4</v>
      </c>
      <c r="M10">
        <v>0</v>
      </c>
      <c r="N10">
        <v>300</v>
      </c>
      <c r="O10">
        <f t="shared" si="4"/>
        <v>0</v>
      </c>
      <c r="P10" t="s">
        <v>17</v>
      </c>
    </row>
    <row r="11" spans="1:17" x14ac:dyDescent="0.25">
      <c r="A11" t="s">
        <v>18</v>
      </c>
      <c r="B11" t="s">
        <v>19</v>
      </c>
      <c r="C11">
        <v>31</v>
      </c>
      <c r="D11">
        <v>75</v>
      </c>
      <c r="E11">
        <f t="shared" si="0"/>
        <v>106</v>
      </c>
      <c r="F11">
        <f t="shared" si="1"/>
        <v>0.29245283018867924</v>
      </c>
      <c r="G11">
        <f t="shared" si="2"/>
        <v>0.70754716981132071</v>
      </c>
      <c r="H11">
        <v>100</v>
      </c>
      <c r="I11" s="3">
        <v>1.1E-4</v>
      </c>
      <c r="J11" s="3">
        <f t="shared" si="3"/>
        <v>1.3333333333333333E-3</v>
      </c>
      <c r="M11">
        <v>20</v>
      </c>
      <c r="N11">
        <v>100</v>
      </c>
      <c r="O11">
        <f t="shared" si="4"/>
        <v>0.2</v>
      </c>
      <c r="P11" t="s">
        <v>20</v>
      </c>
    </row>
    <row r="12" spans="1:17" x14ac:dyDescent="0.25">
      <c r="A12" t="s">
        <v>21</v>
      </c>
      <c r="B12" t="s">
        <v>22</v>
      </c>
      <c r="C12">
        <v>30</v>
      </c>
      <c r="D12">
        <v>500</v>
      </c>
      <c r="E12">
        <f t="shared" si="0"/>
        <v>530</v>
      </c>
      <c r="F12">
        <f t="shared" si="1"/>
        <v>5.6603773584905662E-2</v>
      </c>
      <c r="G12">
        <f t="shared" si="2"/>
        <v>0.94339622641509435</v>
      </c>
      <c r="H12">
        <v>200</v>
      </c>
      <c r="I12" s="3">
        <v>4.0000000000000003E-5</v>
      </c>
      <c r="J12" s="3">
        <f t="shared" si="3"/>
        <v>4.0000000000000002E-4</v>
      </c>
      <c r="M12" t="s">
        <v>103</v>
      </c>
      <c r="N12">
        <v>1000</v>
      </c>
      <c r="O12" t="s">
        <v>103</v>
      </c>
      <c r="P12" t="s">
        <v>77</v>
      </c>
    </row>
    <row r="13" spans="1:17" x14ac:dyDescent="0.25">
      <c r="A13" t="s">
        <v>23</v>
      </c>
      <c r="B13" t="s">
        <v>24</v>
      </c>
      <c r="C13">
        <v>50</v>
      </c>
      <c r="D13">
        <v>120</v>
      </c>
      <c r="E13">
        <f t="shared" si="0"/>
        <v>170</v>
      </c>
      <c r="F13">
        <f t="shared" si="1"/>
        <v>0.29411764705882354</v>
      </c>
      <c r="G13">
        <f t="shared" si="2"/>
        <v>0.70588235294117652</v>
      </c>
      <c r="H13">
        <v>80</v>
      </c>
      <c r="J13" s="3">
        <f t="shared" si="3"/>
        <v>6.6666666666666664E-4</v>
      </c>
      <c r="M13">
        <v>10</v>
      </c>
      <c r="N13">
        <v>100</v>
      </c>
      <c r="O13">
        <f t="shared" si="4"/>
        <v>0.1</v>
      </c>
      <c r="P13" t="s">
        <v>98</v>
      </c>
    </row>
    <row r="14" spans="1:17" x14ac:dyDescent="0.25">
      <c r="A14" t="s">
        <v>25</v>
      </c>
      <c r="B14" t="s">
        <v>26</v>
      </c>
      <c r="C14">
        <v>7.5</v>
      </c>
      <c r="D14">
        <v>7.5</v>
      </c>
      <c r="E14">
        <f t="shared" si="0"/>
        <v>15</v>
      </c>
      <c r="F14">
        <f t="shared" si="1"/>
        <v>0.5</v>
      </c>
      <c r="G14">
        <f t="shared" si="2"/>
        <v>0.5</v>
      </c>
      <c r="H14">
        <v>20</v>
      </c>
      <c r="I14" s="3">
        <v>6.0000000000000002E-5</v>
      </c>
      <c r="J14" s="3">
        <f t="shared" si="3"/>
        <v>2.6666666666666666E-3</v>
      </c>
      <c r="M14">
        <v>200</v>
      </c>
      <c r="N14">
        <v>300</v>
      </c>
      <c r="O14">
        <f t="shared" si="4"/>
        <v>0.66666666666666663</v>
      </c>
      <c r="P14" t="s">
        <v>139</v>
      </c>
    </row>
    <row r="15" spans="1:17" x14ac:dyDescent="0.25">
      <c r="A15" t="s">
        <v>27</v>
      </c>
      <c r="B15" t="s">
        <v>28</v>
      </c>
      <c r="C15">
        <v>10</v>
      </c>
      <c r="D15">
        <v>1</v>
      </c>
      <c r="E15">
        <f t="shared" si="0"/>
        <v>11</v>
      </c>
      <c r="F15">
        <f t="shared" si="1"/>
        <v>0.90909090909090906</v>
      </c>
      <c r="G15">
        <f t="shared" si="2"/>
        <v>9.0909090909090912E-2</v>
      </c>
      <c r="H15">
        <v>1</v>
      </c>
      <c r="J15" s="3">
        <f t="shared" si="3"/>
        <v>1E-3</v>
      </c>
      <c r="K15" s="3">
        <v>2.8000000000000001E-2</v>
      </c>
      <c r="M15">
        <v>20</v>
      </c>
      <c r="N15">
        <v>50</v>
      </c>
      <c r="O15">
        <f t="shared" si="4"/>
        <v>0.4</v>
      </c>
      <c r="P15" t="s">
        <v>88</v>
      </c>
    </row>
    <row r="16" spans="1:17" x14ac:dyDescent="0.25">
      <c r="A16" t="s">
        <v>112</v>
      </c>
      <c r="B16" t="s">
        <v>29</v>
      </c>
      <c r="C16">
        <v>70</v>
      </c>
      <c r="D16">
        <v>1200</v>
      </c>
      <c r="E16">
        <f t="shared" si="0"/>
        <v>1270</v>
      </c>
      <c r="F16">
        <f t="shared" si="1"/>
        <v>5.5118110236220472E-2</v>
      </c>
      <c r="G16">
        <f t="shared" si="2"/>
        <v>0.94488188976377951</v>
      </c>
      <c r="H16">
        <v>60</v>
      </c>
      <c r="I16" s="3">
        <f>200/(C16*1000)</f>
        <v>2.8571428571428571E-3</v>
      </c>
      <c r="J16" s="3">
        <f t="shared" si="3"/>
        <v>5.0000000000000002E-5</v>
      </c>
      <c r="M16">
        <v>50</v>
      </c>
      <c r="N16">
        <v>200</v>
      </c>
      <c r="O16">
        <f t="shared" si="4"/>
        <v>0.25</v>
      </c>
      <c r="P16" t="s">
        <v>71</v>
      </c>
    </row>
    <row r="17" spans="1:17" x14ac:dyDescent="0.25">
      <c r="A17" t="s">
        <v>30</v>
      </c>
      <c r="B17" t="s">
        <v>28</v>
      </c>
      <c r="C17">
        <v>60</v>
      </c>
      <c r="D17">
        <v>50</v>
      </c>
      <c r="E17">
        <f t="shared" si="0"/>
        <v>110</v>
      </c>
      <c r="F17">
        <f t="shared" si="1"/>
        <v>0.54545454545454541</v>
      </c>
      <c r="G17">
        <f t="shared" si="2"/>
        <v>0.45454545454545453</v>
      </c>
      <c r="H17">
        <v>100</v>
      </c>
      <c r="J17" s="3">
        <f t="shared" si="3"/>
        <v>2E-3</v>
      </c>
      <c r="M17">
        <v>25</v>
      </c>
      <c r="N17">
        <v>250</v>
      </c>
      <c r="O17">
        <f t="shared" si="4"/>
        <v>0.1</v>
      </c>
      <c r="P17" t="s">
        <v>231</v>
      </c>
    </row>
    <row r="18" spans="1:17" x14ac:dyDescent="0.25">
      <c r="A18" t="s">
        <v>32</v>
      </c>
      <c r="B18" t="s">
        <v>33</v>
      </c>
      <c r="C18">
        <v>30</v>
      </c>
      <c r="D18">
        <v>50</v>
      </c>
      <c r="E18">
        <f t="shared" si="0"/>
        <v>80</v>
      </c>
      <c r="F18">
        <f t="shared" si="1"/>
        <v>0.375</v>
      </c>
      <c r="G18">
        <f t="shared" si="2"/>
        <v>0.625</v>
      </c>
      <c r="H18">
        <v>50</v>
      </c>
      <c r="I18" s="3">
        <v>1E-4</v>
      </c>
      <c r="J18" s="3">
        <f t="shared" si="3"/>
        <v>1E-3</v>
      </c>
      <c r="M18">
        <v>40</v>
      </c>
      <c r="N18">
        <v>105</v>
      </c>
      <c r="O18">
        <f t="shared" si="4"/>
        <v>0.38095238095238093</v>
      </c>
      <c r="P18" t="s">
        <v>185</v>
      </c>
    </row>
    <row r="19" spans="1:17" x14ac:dyDescent="0.25">
      <c r="A19" t="s">
        <v>34</v>
      </c>
      <c r="B19" t="s">
        <v>35</v>
      </c>
      <c r="C19">
        <v>50</v>
      </c>
      <c r="D19">
        <v>1500</v>
      </c>
      <c r="E19">
        <f t="shared" si="0"/>
        <v>1550</v>
      </c>
      <c r="F19">
        <f t="shared" si="1"/>
        <v>3.2258064516129031E-2</v>
      </c>
      <c r="G19">
        <f t="shared" si="2"/>
        <v>0.967741935483871</v>
      </c>
      <c r="H19">
        <v>200</v>
      </c>
      <c r="I19" s="3">
        <v>2.0000000000000002E-5</v>
      </c>
      <c r="J19" s="3">
        <f t="shared" si="3"/>
        <v>1.3333333333333334E-4</v>
      </c>
      <c r="M19">
        <f>N19-((N19-100)/12*40)</f>
        <v>53.333333333333329</v>
      </c>
      <c r="N19">
        <v>120</v>
      </c>
      <c r="O19">
        <f t="shared" si="4"/>
        <v>0.44444444444444442</v>
      </c>
      <c r="P19" t="s">
        <v>75</v>
      </c>
    </row>
    <row r="20" spans="1:17" x14ac:dyDescent="0.25">
      <c r="A20" t="s">
        <v>37</v>
      </c>
      <c r="B20" t="s">
        <v>13</v>
      </c>
      <c r="C20">
        <v>220</v>
      </c>
      <c r="D20">
        <v>350</v>
      </c>
      <c r="E20">
        <f t="shared" si="0"/>
        <v>570</v>
      </c>
      <c r="F20">
        <f t="shared" si="1"/>
        <v>0.38596491228070173</v>
      </c>
      <c r="G20">
        <f t="shared" si="2"/>
        <v>0.61403508771929827</v>
      </c>
      <c r="H20">
        <v>150</v>
      </c>
      <c r="I20" s="3">
        <v>3.0000000000000001E-5</v>
      </c>
      <c r="J20" s="3">
        <f t="shared" si="3"/>
        <v>4.2857142857142855E-4</v>
      </c>
      <c r="L20">
        <v>0.5</v>
      </c>
      <c r="M20">
        <v>250</v>
      </c>
      <c r="N20">
        <v>500</v>
      </c>
      <c r="O20">
        <f t="shared" si="4"/>
        <v>0.5</v>
      </c>
      <c r="P20" t="s">
        <v>86</v>
      </c>
    </row>
    <row r="21" spans="1:17" x14ac:dyDescent="0.25">
      <c r="A21" t="s">
        <v>150</v>
      </c>
      <c r="B21" t="s">
        <v>151</v>
      </c>
      <c r="C21">
        <v>40</v>
      </c>
      <c r="D21">
        <v>30</v>
      </c>
      <c r="E21">
        <f t="shared" si="0"/>
        <v>70</v>
      </c>
      <c r="F21">
        <f t="shared" si="1"/>
        <v>0.5714285714285714</v>
      </c>
      <c r="G21">
        <f t="shared" si="2"/>
        <v>0.42857142857142855</v>
      </c>
      <c r="H21">
        <v>40</v>
      </c>
      <c r="J21" s="3">
        <f t="shared" si="3"/>
        <v>1.3333333333333333E-3</v>
      </c>
      <c r="M21">
        <v>0</v>
      </c>
      <c r="N21">
        <v>300</v>
      </c>
      <c r="O21">
        <f t="shared" si="4"/>
        <v>0</v>
      </c>
      <c r="P21" t="s">
        <v>152</v>
      </c>
    </row>
    <row r="22" spans="1:17" x14ac:dyDescent="0.25">
      <c r="A22" t="s">
        <v>38</v>
      </c>
      <c r="B22" t="s">
        <v>39</v>
      </c>
      <c r="C22">
        <v>55</v>
      </c>
      <c r="D22">
        <v>50</v>
      </c>
      <c r="E22">
        <f t="shared" si="0"/>
        <v>105</v>
      </c>
      <c r="F22">
        <f t="shared" si="1"/>
        <v>0.52380952380952384</v>
      </c>
      <c r="G22">
        <f t="shared" si="2"/>
        <v>0.47619047619047616</v>
      </c>
      <c r="H22">
        <v>200</v>
      </c>
      <c r="J22" s="3">
        <f t="shared" si="3"/>
        <v>4.0000000000000001E-3</v>
      </c>
      <c r="M22" t="s">
        <v>103</v>
      </c>
      <c r="N22" t="s">
        <v>103</v>
      </c>
      <c r="O22" t="s">
        <v>103</v>
      </c>
    </row>
    <row r="23" spans="1:17" x14ac:dyDescent="0.25">
      <c r="A23" t="s">
        <v>40</v>
      </c>
      <c r="B23" t="s">
        <v>28</v>
      </c>
      <c r="C23">
        <v>60</v>
      </c>
      <c r="D23">
        <v>60</v>
      </c>
      <c r="E23">
        <f t="shared" si="0"/>
        <v>120</v>
      </c>
      <c r="F23">
        <f t="shared" si="1"/>
        <v>0.5</v>
      </c>
      <c r="G23">
        <f t="shared" si="2"/>
        <v>0.5</v>
      </c>
      <c r="H23">
        <v>125</v>
      </c>
      <c r="I23" s="3">
        <v>2.1000000000000001E-4</v>
      </c>
      <c r="J23" s="3">
        <f t="shared" si="3"/>
        <v>2.0833333333333333E-3</v>
      </c>
      <c r="M23">
        <v>25</v>
      </c>
      <c r="N23">
        <v>100</v>
      </c>
      <c r="O23">
        <f t="shared" si="4"/>
        <v>0.25</v>
      </c>
    </row>
    <row r="24" spans="1:17" x14ac:dyDescent="0.25">
      <c r="A24" t="s">
        <v>41</v>
      </c>
      <c r="B24" t="s">
        <v>42</v>
      </c>
      <c r="C24">
        <v>500</v>
      </c>
      <c r="D24">
        <v>1000</v>
      </c>
      <c r="E24">
        <f t="shared" si="0"/>
        <v>1500</v>
      </c>
      <c r="F24">
        <f t="shared" si="1"/>
        <v>0.33333333333333331</v>
      </c>
      <c r="G24">
        <f t="shared" si="2"/>
        <v>0.66666666666666663</v>
      </c>
      <c r="H24">
        <v>150</v>
      </c>
      <c r="I24" s="3">
        <v>2.2000000000000001E-4</v>
      </c>
      <c r="J24" s="3">
        <f t="shared" si="3"/>
        <v>1.4999999999999999E-4</v>
      </c>
      <c r="M24">
        <v>80</v>
      </c>
      <c r="N24">
        <v>700</v>
      </c>
      <c r="O24">
        <f t="shared" si="4"/>
        <v>0.11428571428571428</v>
      </c>
      <c r="P24" t="s">
        <v>168</v>
      </c>
    </row>
    <row r="25" spans="1:17" x14ac:dyDescent="0.25">
      <c r="A25" t="s">
        <v>43</v>
      </c>
      <c r="B25" t="s">
        <v>44</v>
      </c>
      <c r="C25">
        <v>200</v>
      </c>
      <c r="D25">
        <v>100</v>
      </c>
      <c r="E25">
        <f t="shared" si="0"/>
        <v>300</v>
      </c>
      <c r="F25">
        <f t="shared" si="1"/>
        <v>0.66666666666666663</v>
      </c>
      <c r="G25">
        <f t="shared" si="2"/>
        <v>0.33333333333333331</v>
      </c>
      <c r="H25">
        <v>150</v>
      </c>
      <c r="I25" s="3">
        <v>2.0000000000000002E-5</v>
      </c>
      <c r="J25" s="3">
        <f t="shared" si="3"/>
        <v>1.5E-3</v>
      </c>
      <c r="M25">
        <v>600</v>
      </c>
      <c r="N25">
        <v>1000</v>
      </c>
      <c r="O25">
        <f t="shared" si="4"/>
        <v>0.6</v>
      </c>
      <c r="P25" t="s">
        <v>83</v>
      </c>
    </row>
    <row r="26" spans="1:17" x14ac:dyDescent="0.25">
      <c r="A26" t="s">
        <v>45</v>
      </c>
      <c r="B26" t="s">
        <v>46</v>
      </c>
      <c r="C26">
        <v>120</v>
      </c>
      <c r="D26">
        <v>50</v>
      </c>
      <c r="E26">
        <f t="shared" si="0"/>
        <v>170</v>
      </c>
      <c r="F26">
        <f t="shared" si="1"/>
        <v>0.70588235294117652</v>
      </c>
      <c r="G26">
        <f t="shared" si="2"/>
        <v>0.29411764705882354</v>
      </c>
      <c r="H26">
        <v>132</v>
      </c>
      <c r="J26" s="3">
        <f t="shared" si="3"/>
        <v>2.64E-3</v>
      </c>
      <c r="M26">
        <v>80</v>
      </c>
      <c r="N26">
        <v>80</v>
      </c>
      <c r="O26">
        <f t="shared" si="4"/>
        <v>1</v>
      </c>
      <c r="P26" t="s">
        <v>47</v>
      </c>
    </row>
    <row r="27" spans="1:17" x14ac:dyDescent="0.25">
      <c r="A27" t="s">
        <v>48</v>
      </c>
      <c r="B27" t="s">
        <v>49</v>
      </c>
      <c r="C27">
        <v>170</v>
      </c>
      <c r="D27">
        <v>75</v>
      </c>
      <c r="E27">
        <f t="shared" si="0"/>
        <v>245</v>
      </c>
      <c r="F27">
        <f t="shared" si="1"/>
        <v>0.69387755102040816</v>
      </c>
      <c r="G27">
        <f t="shared" si="2"/>
        <v>0.30612244897959184</v>
      </c>
      <c r="H27">
        <v>150</v>
      </c>
      <c r="I27" s="3">
        <v>9.0000000000000006E-5</v>
      </c>
      <c r="J27" s="3">
        <f t="shared" si="3"/>
        <v>2E-3</v>
      </c>
      <c r="K27" s="3">
        <v>0.02</v>
      </c>
      <c r="L27" s="3">
        <v>0.5</v>
      </c>
      <c r="M27">
        <v>200</v>
      </c>
      <c r="N27">
        <v>1000</v>
      </c>
      <c r="O27">
        <f t="shared" si="4"/>
        <v>0.2</v>
      </c>
      <c r="P27" t="s">
        <v>270</v>
      </c>
    </row>
    <row r="28" spans="1:17" x14ac:dyDescent="0.25">
      <c r="A28" t="s">
        <v>61</v>
      </c>
      <c r="B28" t="s">
        <v>33</v>
      </c>
      <c r="C28">
        <v>70</v>
      </c>
      <c r="D28">
        <v>30</v>
      </c>
      <c r="E28">
        <f t="shared" si="0"/>
        <v>100</v>
      </c>
      <c r="F28">
        <f t="shared" si="1"/>
        <v>0.7</v>
      </c>
      <c r="G28">
        <f t="shared" si="2"/>
        <v>0.3</v>
      </c>
      <c r="H28">
        <v>50</v>
      </c>
      <c r="I28" s="3">
        <v>4.6999999999999999E-4</v>
      </c>
      <c r="J28" s="3">
        <f t="shared" si="3"/>
        <v>1.6666666666666668E-3</v>
      </c>
      <c r="M28">
        <v>160</v>
      </c>
      <c r="N28">
        <v>200</v>
      </c>
      <c r="O28">
        <f t="shared" si="4"/>
        <v>0.8</v>
      </c>
      <c r="P28" t="s">
        <v>82</v>
      </c>
    </row>
    <row r="29" spans="1:17" x14ac:dyDescent="0.25">
      <c r="A29" t="s">
        <v>63</v>
      </c>
      <c r="B29" t="s">
        <v>33</v>
      </c>
      <c r="C29">
        <v>80</v>
      </c>
      <c r="D29">
        <v>30</v>
      </c>
      <c r="E29">
        <f t="shared" si="0"/>
        <v>110</v>
      </c>
      <c r="F29">
        <f t="shared" si="1"/>
        <v>0.72727272727272729</v>
      </c>
      <c r="G29">
        <f t="shared" si="2"/>
        <v>0.27272727272727271</v>
      </c>
      <c r="H29">
        <v>100</v>
      </c>
      <c r="I29" s="3">
        <v>2.7E-4</v>
      </c>
      <c r="J29" s="3">
        <f t="shared" si="3"/>
        <v>3.3333333333333335E-3</v>
      </c>
      <c r="M29" t="s">
        <v>103</v>
      </c>
      <c r="N29" t="s">
        <v>103</v>
      </c>
      <c r="O29" t="s">
        <v>103</v>
      </c>
    </row>
    <row r="30" spans="1:17" x14ac:dyDescent="0.25">
      <c r="A30" t="s">
        <v>78</v>
      </c>
      <c r="B30" t="s">
        <v>80</v>
      </c>
      <c r="C30">
        <v>25</v>
      </c>
      <c r="D30">
        <v>350</v>
      </c>
      <c r="E30">
        <f t="shared" si="0"/>
        <v>375</v>
      </c>
      <c r="F30">
        <f t="shared" si="1"/>
        <v>6.6666666666666666E-2</v>
      </c>
      <c r="G30">
        <f t="shared" si="2"/>
        <v>0.93333333333333335</v>
      </c>
      <c r="H30">
        <v>200</v>
      </c>
      <c r="J30" s="3">
        <f t="shared" si="3"/>
        <v>5.7142857142857147E-4</v>
      </c>
      <c r="M30" t="s">
        <v>103</v>
      </c>
      <c r="N30">
        <v>60</v>
      </c>
      <c r="O30" t="s">
        <v>103</v>
      </c>
      <c r="P30" t="s">
        <v>79</v>
      </c>
    </row>
    <row r="31" spans="1:17" x14ac:dyDescent="0.25">
      <c r="A31" t="s">
        <v>84</v>
      </c>
      <c r="B31" t="s">
        <v>85</v>
      </c>
      <c r="C31">
        <v>400</v>
      </c>
      <c r="D31">
        <v>100</v>
      </c>
      <c r="E31">
        <f t="shared" si="0"/>
        <v>500</v>
      </c>
      <c r="F31">
        <f t="shared" si="1"/>
        <v>0.8</v>
      </c>
      <c r="G31">
        <f t="shared" si="2"/>
        <v>0.2</v>
      </c>
      <c r="H31">
        <v>65</v>
      </c>
      <c r="I31" s="3">
        <v>6.9999999999999994E-5</v>
      </c>
      <c r="J31" s="3">
        <f t="shared" si="3"/>
        <v>6.4999999999999997E-4</v>
      </c>
      <c r="M31">
        <v>2000</v>
      </c>
      <c r="N31">
        <v>1700</v>
      </c>
      <c r="O31">
        <f>M31/N31</f>
        <v>1.1764705882352942</v>
      </c>
      <c r="P31" t="s">
        <v>121</v>
      </c>
      <c r="Q31" t="s">
        <v>284</v>
      </c>
    </row>
    <row r="32" spans="1:17" x14ac:dyDescent="0.25">
      <c r="A32" t="s">
        <v>163</v>
      </c>
      <c r="B32" t="s">
        <v>164</v>
      </c>
      <c r="C32">
        <v>270</v>
      </c>
      <c r="D32">
        <v>200</v>
      </c>
      <c r="E32">
        <f t="shared" si="0"/>
        <v>470</v>
      </c>
      <c r="F32">
        <f t="shared" si="1"/>
        <v>0.57446808510638303</v>
      </c>
      <c r="G32">
        <f t="shared" si="2"/>
        <v>0.42553191489361702</v>
      </c>
      <c r="H32">
        <v>100</v>
      </c>
      <c r="I32" s="3">
        <v>8.0000000000000007E-5</v>
      </c>
      <c r="J32" s="3">
        <f t="shared" si="3"/>
        <v>5.0000000000000001E-4</v>
      </c>
      <c r="M32" t="s">
        <v>103</v>
      </c>
      <c r="N32">
        <v>3000</v>
      </c>
      <c r="O32" t="s">
        <v>103</v>
      </c>
      <c r="P32" t="s">
        <v>285</v>
      </c>
    </row>
    <row r="33" spans="1:16" x14ac:dyDescent="0.25">
      <c r="A33" t="s">
        <v>173</v>
      </c>
      <c r="B33" t="s">
        <v>174</v>
      </c>
      <c r="C33">
        <v>164</v>
      </c>
      <c r="D33">
        <v>130</v>
      </c>
      <c r="E33">
        <f t="shared" si="0"/>
        <v>294</v>
      </c>
      <c r="F33">
        <f t="shared" si="1"/>
        <v>0.55782312925170063</v>
      </c>
      <c r="G33">
        <f t="shared" si="2"/>
        <v>0.44217687074829931</v>
      </c>
      <c r="H33">
        <v>231</v>
      </c>
      <c r="J33" s="3">
        <f t="shared" si="3"/>
        <v>1.776923076923077E-3</v>
      </c>
      <c r="M33">
        <v>250</v>
      </c>
      <c r="N33" t="s">
        <v>103</v>
      </c>
      <c r="O33" t="s">
        <v>103</v>
      </c>
      <c r="P33" t="s">
        <v>175</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9F289-583D-4FBF-848C-5269168BA084}">
  <dimension ref="A1:K32"/>
  <sheetViews>
    <sheetView workbookViewId="0">
      <pane xSplit="1" ySplit="1" topLeftCell="B17" activePane="bottomRight" state="frozen"/>
      <selection pane="topRight" activeCell="B1" sqref="B1"/>
      <selection pane="bottomLeft" activeCell="A2" sqref="A2"/>
      <selection pane="bottomRight" activeCell="F26" sqref="F26"/>
    </sheetView>
  </sheetViews>
  <sheetFormatPr defaultRowHeight="15" x14ac:dyDescent="0.25"/>
  <cols>
    <col min="1" max="1" width="20.85546875" bestFit="1" customWidth="1"/>
    <col min="2" max="2" width="15.85546875" bestFit="1" customWidth="1"/>
    <col min="4" max="4" width="10.42578125" bestFit="1" customWidth="1"/>
    <col min="5" max="5" width="10.42578125" customWidth="1"/>
    <col min="6" max="6" width="24.85546875" customWidth="1"/>
    <col min="7" max="7" width="11.28515625" customWidth="1"/>
    <col min="8" max="9" width="10.42578125" customWidth="1"/>
    <col min="10" max="10" width="23.28515625" bestFit="1" customWidth="1"/>
  </cols>
  <sheetData>
    <row r="1" spans="1:11" x14ac:dyDescent="0.25">
      <c r="A1" s="1" t="s">
        <v>0</v>
      </c>
      <c r="B1" s="1" t="s">
        <v>1</v>
      </c>
      <c r="C1" s="1" t="s">
        <v>214</v>
      </c>
      <c r="D1" s="1" t="s">
        <v>215</v>
      </c>
      <c r="E1" s="1" t="s">
        <v>218</v>
      </c>
      <c r="F1" s="1" t="s">
        <v>239</v>
      </c>
      <c r="G1" s="1" t="s">
        <v>240</v>
      </c>
      <c r="H1" s="1" t="s">
        <v>219</v>
      </c>
      <c r="I1" s="1" t="s">
        <v>232</v>
      </c>
      <c r="J1" s="1" t="s">
        <v>241</v>
      </c>
      <c r="K1" s="1" t="s">
        <v>242</v>
      </c>
    </row>
    <row r="2" spans="1:11" x14ac:dyDescent="0.25">
      <c r="A2" t="s">
        <v>2</v>
      </c>
      <c r="B2" t="s">
        <v>3</v>
      </c>
      <c r="C2">
        <v>2</v>
      </c>
      <c r="D2">
        <v>0.2</v>
      </c>
      <c r="E2" t="s">
        <v>103</v>
      </c>
      <c r="F2" t="s">
        <v>111</v>
      </c>
      <c r="H2" t="s">
        <v>103</v>
      </c>
      <c r="I2" t="s">
        <v>103</v>
      </c>
    </row>
    <row r="3" spans="1:11" x14ac:dyDescent="0.25">
      <c r="A3" t="s">
        <v>5</v>
      </c>
      <c r="B3" t="s">
        <v>6</v>
      </c>
      <c r="C3">
        <v>7</v>
      </c>
      <c r="D3">
        <v>0.5</v>
      </c>
      <c r="E3">
        <v>1</v>
      </c>
      <c r="F3" t="s">
        <v>72</v>
      </c>
      <c r="H3" t="s">
        <v>103</v>
      </c>
      <c r="I3" t="s">
        <v>103</v>
      </c>
    </row>
    <row r="4" spans="1:11" x14ac:dyDescent="0.25">
      <c r="A4" t="s">
        <v>7</v>
      </c>
      <c r="B4" t="s">
        <v>8</v>
      </c>
      <c r="C4">
        <v>3</v>
      </c>
      <c r="D4">
        <v>0.1</v>
      </c>
      <c r="E4">
        <v>1</v>
      </c>
      <c r="F4" t="s">
        <v>81</v>
      </c>
      <c r="G4" t="s">
        <v>216</v>
      </c>
      <c r="H4">
        <v>4</v>
      </c>
      <c r="I4">
        <v>0.2</v>
      </c>
      <c r="J4" t="s">
        <v>243</v>
      </c>
    </row>
    <row r="5" spans="1:11" x14ac:dyDescent="0.25">
      <c r="A5" t="s">
        <v>9</v>
      </c>
      <c r="B5" t="s">
        <v>10</v>
      </c>
      <c r="C5">
        <v>1</v>
      </c>
      <c r="D5">
        <v>0.9</v>
      </c>
      <c r="E5">
        <v>1</v>
      </c>
      <c r="F5" t="s">
        <v>76</v>
      </c>
      <c r="H5">
        <v>2</v>
      </c>
      <c r="I5" t="s">
        <v>103</v>
      </c>
      <c r="J5" t="s">
        <v>244</v>
      </c>
    </row>
    <row r="6" spans="1:11" x14ac:dyDescent="0.25">
      <c r="A6" t="s">
        <v>11</v>
      </c>
      <c r="B6" t="s">
        <v>10</v>
      </c>
      <c r="C6">
        <v>4</v>
      </c>
      <c r="D6">
        <v>0.5</v>
      </c>
      <c r="E6">
        <v>1</v>
      </c>
      <c r="F6" t="s">
        <v>125</v>
      </c>
      <c r="G6" t="s">
        <v>126</v>
      </c>
      <c r="H6" t="s">
        <v>103</v>
      </c>
      <c r="I6" t="s">
        <v>103</v>
      </c>
    </row>
    <row r="7" spans="1:11" x14ac:dyDescent="0.25">
      <c r="A7" t="s">
        <v>12</v>
      </c>
      <c r="B7" t="s">
        <v>13</v>
      </c>
      <c r="C7">
        <v>1</v>
      </c>
      <c r="D7">
        <v>0.3</v>
      </c>
      <c r="E7">
        <v>1</v>
      </c>
      <c r="F7" t="s">
        <v>73</v>
      </c>
      <c r="G7" t="s">
        <v>212</v>
      </c>
      <c r="H7">
        <v>2</v>
      </c>
      <c r="I7" t="s">
        <v>103</v>
      </c>
      <c r="J7" t="s">
        <v>245</v>
      </c>
    </row>
    <row r="8" spans="1:11" x14ac:dyDescent="0.25">
      <c r="A8" t="s">
        <v>14</v>
      </c>
      <c r="B8" t="s">
        <v>15</v>
      </c>
      <c r="C8" t="s">
        <v>103</v>
      </c>
      <c r="D8">
        <v>0.75</v>
      </c>
      <c r="E8">
        <v>1</v>
      </c>
      <c r="F8" t="s">
        <v>177</v>
      </c>
      <c r="G8" t="s">
        <v>220</v>
      </c>
      <c r="H8" t="s">
        <v>103</v>
      </c>
      <c r="I8" t="s">
        <v>103</v>
      </c>
    </row>
    <row r="9" spans="1:11" x14ac:dyDescent="0.25">
      <c r="A9" t="s">
        <v>16</v>
      </c>
      <c r="B9" t="s">
        <v>10</v>
      </c>
      <c r="C9">
        <v>5</v>
      </c>
      <c r="D9">
        <v>0.2</v>
      </c>
      <c r="E9">
        <v>0.6</v>
      </c>
      <c r="F9" t="s">
        <v>17</v>
      </c>
      <c r="H9" t="s">
        <v>103</v>
      </c>
      <c r="I9" t="s">
        <v>103</v>
      </c>
    </row>
    <row r="10" spans="1:11" x14ac:dyDescent="0.25">
      <c r="A10" t="s">
        <v>18</v>
      </c>
      <c r="B10" t="s">
        <v>19</v>
      </c>
      <c r="C10">
        <v>1</v>
      </c>
      <c r="D10">
        <v>0.1</v>
      </c>
      <c r="E10">
        <v>0.8</v>
      </c>
      <c r="F10" t="s">
        <v>20</v>
      </c>
      <c r="H10" t="s">
        <v>103</v>
      </c>
      <c r="I10" t="s">
        <v>103</v>
      </c>
    </row>
    <row r="11" spans="1:11" x14ac:dyDescent="0.25">
      <c r="A11" t="s">
        <v>21</v>
      </c>
      <c r="B11" t="s">
        <v>22</v>
      </c>
      <c r="C11">
        <v>10</v>
      </c>
      <c r="D11">
        <v>0.5</v>
      </c>
      <c r="E11">
        <v>0</v>
      </c>
      <c r="F11" t="s">
        <v>249</v>
      </c>
      <c r="G11" t="s">
        <v>213</v>
      </c>
      <c r="H11">
        <v>2</v>
      </c>
      <c r="I11" t="s">
        <v>103</v>
      </c>
      <c r="J11" t="s">
        <v>77</v>
      </c>
    </row>
    <row r="12" spans="1:11" x14ac:dyDescent="0.25">
      <c r="A12" t="s">
        <v>23</v>
      </c>
      <c r="B12" t="s">
        <v>24</v>
      </c>
      <c r="C12" s="4">
        <v>2</v>
      </c>
      <c r="D12">
        <v>0.6</v>
      </c>
      <c r="E12">
        <v>1</v>
      </c>
      <c r="F12" t="s">
        <v>217</v>
      </c>
      <c r="G12" t="s">
        <v>220</v>
      </c>
      <c r="H12" t="s">
        <v>103</v>
      </c>
      <c r="I12" t="s">
        <v>103</v>
      </c>
    </row>
    <row r="13" spans="1:11" x14ac:dyDescent="0.25">
      <c r="A13" t="s">
        <v>25</v>
      </c>
      <c r="B13" t="s">
        <v>26</v>
      </c>
      <c r="C13">
        <v>1</v>
      </c>
      <c r="D13">
        <v>0.6</v>
      </c>
      <c r="E13">
        <v>1</v>
      </c>
      <c r="F13" t="s">
        <v>139</v>
      </c>
      <c r="H13">
        <v>1</v>
      </c>
      <c r="I13" t="s">
        <v>103</v>
      </c>
      <c r="J13" t="s">
        <v>246</v>
      </c>
    </row>
    <row r="14" spans="1:11" x14ac:dyDescent="0.25">
      <c r="A14" t="s">
        <v>27</v>
      </c>
      <c r="B14" t="s">
        <v>28</v>
      </c>
      <c r="C14">
        <v>1</v>
      </c>
      <c r="D14">
        <v>0.9</v>
      </c>
      <c r="E14">
        <v>0.5</v>
      </c>
      <c r="F14" t="s">
        <v>88</v>
      </c>
      <c r="G14" t="s">
        <v>89</v>
      </c>
      <c r="H14">
        <v>1</v>
      </c>
      <c r="I14" t="s">
        <v>103</v>
      </c>
      <c r="J14" t="s">
        <v>31</v>
      </c>
    </row>
    <row r="15" spans="1:11" x14ac:dyDescent="0.25">
      <c r="A15" t="s">
        <v>112</v>
      </c>
      <c r="B15" t="s">
        <v>29</v>
      </c>
      <c r="C15">
        <v>4</v>
      </c>
      <c r="D15">
        <v>0.4</v>
      </c>
      <c r="E15">
        <v>0.5</v>
      </c>
      <c r="F15" t="s">
        <v>71</v>
      </c>
      <c r="H15" t="s">
        <v>103</v>
      </c>
      <c r="I15" t="s">
        <v>103</v>
      </c>
    </row>
    <row r="16" spans="1:11" x14ac:dyDescent="0.25">
      <c r="A16" t="s">
        <v>30</v>
      </c>
      <c r="B16" t="s">
        <v>28</v>
      </c>
      <c r="C16">
        <v>0</v>
      </c>
      <c r="D16">
        <v>0.2</v>
      </c>
      <c r="E16">
        <v>0.7</v>
      </c>
      <c r="F16" t="s">
        <v>31</v>
      </c>
      <c r="H16" t="s">
        <v>103</v>
      </c>
      <c r="I16" t="s">
        <v>103</v>
      </c>
    </row>
    <row r="17" spans="1:11" x14ac:dyDescent="0.25">
      <c r="A17" t="s">
        <v>32</v>
      </c>
      <c r="B17" t="s">
        <v>33</v>
      </c>
      <c r="C17">
        <v>1</v>
      </c>
      <c r="D17">
        <v>0.5</v>
      </c>
      <c r="E17">
        <v>1</v>
      </c>
      <c r="F17" t="s">
        <v>185</v>
      </c>
      <c r="H17" t="s">
        <v>103</v>
      </c>
      <c r="I17" t="s">
        <v>103</v>
      </c>
    </row>
    <row r="18" spans="1:11" x14ac:dyDescent="0.25">
      <c r="A18" t="s">
        <v>34</v>
      </c>
      <c r="B18" t="s">
        <v>35</v>
      </c>
      <c r="C18">
        <v>1</v>
      </c>
      <c r="D18">
        <v>0.5</v>
      </c>
      <c r="E18">
        <v>0.9</v>
      </c>
      <c r="F18" t="s">
        <v>75</v>
      </c>
      <c r="H18">
        <v>1</v>
      </c>
      <c r="I18" t="s">
        <v>103</v>
      </c>
      <c r="J18" t="s">
        <v>36</v>
      </c>
    </row>
    <row r="19" spans="1:11" x14ac:dyDescent="0.25">
      <c r="A19" t="s">
        <v>37</v>
      </c>
      <c r="B19" t="s">
        <v>13</v>
      </c>
      <c r="C19">
        <v>8</v>
      </c>
      <c r="D19">
        <v>0.4</v>
      </c>
      <c r="E19">
        <v>1</v>
      </c>
      <c r="F19" t="s">
        <v>86</v>
      </c>
      <c r="H19" t="s">
        <v>103</v>
      </c>
      <c r="I19" t="s">
        <v>103</v>
      </c>
    </row>
    <row r="20" spans="1:11" x14ac:dyDescent="0.25">
      <c r="A20" t="s">
        <v>150</v>
      </c>
      <c r="B20" t="s">
        <v>151</v>
      </c>
      <c r="C20">
        <v>2</v>
      </c>
      <c r="D20">
        <v>0.8</v>
      </c>
      <c r="E20">
        <v>0</v>
      </c>
      <c r="F20" t="s">
        <v>152</v>
      </c>
      <c r="G20" t="s">
        <v>155</v>
      </c>
      <c r="H20" t="s">
        <v>103</v>
      </c>
      <c r="I20" t="s">
        <v>103</v>
      </c>
    </row>
    <row r="21" spans="1:11" x14ac:dyDescent="0.25">
      <c r="A21" t="s">
        <v>38</v>
      </c>
      <c r="B21" t="s">
        <v>39</v>
      </c>
      <c r="C21" t="s">
        <v>103</v>
      </c>
      <c r="D21" t="s">
        <v>103</v>
      </c>
      <c r="E21" t="s">
        <v>103</v>
      </c>
      <c r="H21" t="s">
        <v>103</v>
      </c>
      <c r="I21" t="s">
        <v>103</v>
      </c>
    </row>
    <row r="22" spans="1:11" x14ac:dyDescent="0.25">
      <c r="A22" t="s">
        <v>40</v>
      </c>
      <c r="B22" t="s">
        <v>28</v>
      </c>
      <c r="C22">
        <v>0</v>
      </c>
      <c r="D22">
        <v>0.9</v>
      </c>
      <c r="E22">
        <v>0.5</v>
      </c>
      <c r="F22" t="s">
        <v>250</v>
      </c>
      <c r="G22" t="s">
        <v>251</v>
      </c>
      <c r="H22" t="s">
        <v>103</v>
      </c>
      <c r="I22" t="s">
        <v>103</v>
      </c>
    </row>
    <row r="23" spans="1:11" x14ac:dyDescent="0.25">
      <c r="A23" t="s">
        <v>41</v>
      </c>
      <c r="B23" t="s">
        <v>42</v>
      </c>
      <c r="C23" t="s">
        <v>103</v>
      </c>
      <c r="D23" t="s">
        <v>103</v>
      </c>
      <c r="E23">
        <v>1</v>
      </c>
      <c r="F23" t="s">
        <v>171</v>
      </c>
      <c r="H23" t="s">
        <v>103</v>
      </c>
      <c r="I23" t="s">
        <v>103</v>
      </c>
    </row>
    <row r="24" spans="1:11" x14ac:dyDescent="0.25">
      <c r="A24" t="s">
        <v>43</v>
      </c>
      <c r="B24" t="s">
        <v>44</v>
      </c>
      <c r="C24">
        <v>30</v>
      </c>
      <c r="D24">
        <v>0.5</v>
      </c>
      <c r="E24" t="s">
        <v>103</v>
      </c>
      <c r="F24" t="s">
        <v>83</v>
      </c>
      <c r="H24" t="s">
        <v>103</v>
      </c>
      <c r="I24" t="s">
        <v>103</v>
      </c>
    </row>
    <row r="25" spans="1:11" x14ac:dyDescent="0.25">
      <c r="A25" t="s">
        <v>45</v>
      </c>
      <c r="B25" t="s">
        <v>46</v>
      </c>
      <c r="C25">
        <v>1</v>
      </c>
      <c r="D25">
        <v>0.1</v>
      </c>
      <c r="E25">
        <v>0</v>
      </c>
      <c r="F25" t="s">
        <v>47</v>
      </c>
      <c r="H25" t="s">
        <v>103</v>
      </c>
      <c r="I25" t="s">
        <v>103</v>
      </c>
      <c r="K25" t="s">
        <v>248</v>
      </c>
    </row>
    <row r="26" spans="1:11" x14ac:dyDescent="0.25">
      <c r="A26" t="s">
        <v>48</v>
      </c>
      <c r="B26" t="s">
        <v>49</v>
      </c>
      <c r="C26">
        <v>0</v>
      </c>
      <c r="D26">
        <v>0</v>
      </c>
      <c r="E26">
        <v>1</v>
      </c>
      <c r="F26" t="s">
        <v>74</v>
      </c>
      <c r="H26" t="s">
        <v>103</v>
      </c>
      <c r="I26" t="s">
        <v>103</v>
      </c>
    </row>
    <row r="27" spans="1:11" x14ac:dyDescent="0.25">
      <c r="A27" t="s">
        <v>61</v>
      </c>
      <c r="B27" t="s">
        <v>33</v>
      </c>
      <c r="C27">
        <v>3</v>
      </c>
      <c r="D27">
        <v>0.6</v>
      </c>
      <c r="E27">
        <v>1</v>
      </c>
      <c r="F27" t="s">
        <v>82</v>
      </c>
      <c r="H27">
        <v>1</v>
      </c>
      <c r="I27" t="s">
        <v>103</v>
      </c>
      <c r="J27" t="s">
        <v>252</v>
      </c>
    </row>
    <row r="28" spans="1:11" x14ac:dyDescent="0.25">
      <c r="A28" t="s">
        <v>63</v>
      </c>
      <c r="B28" t="s">
        <v>33</v>
      </c>
      <c r="C28" t="s">
        <v>103</v>
      </c>
      <c r="D28" t="s">
        <v>103</v>
      </c>
      <c r="E28" t="s">
        <v>103</v>
      </c>
      <c r="H28">
        <v>3</v>
      </c>
      <c r="I28" t="s">
        <v>103</v>
      </c>
      <c r="J28" t="s">
        <v>252</v>
      </c>
    </row>
    <row r="29" spans="1:11" x14ac:dyDescent="0.25">
      <c r="A29" t="s">
        <v>78</v>
      </c>
      <c r="B29" t="s">
        <v>80</v>
      </c>
      <c r="C29">
        <v>1</v>
      </c>
      <c r="D29">
        <v>0.5</v>
      </c>
      <c r="E29">
        <v>0</v>
      </c>
      <c r="F29" t="s">
        <v>79</v>
      </c>
      <c r="H29" t="s">
        <v>103</v>
      </c>
      <c r="I29" t="s">
        <v>103</v>
      </c>
    </row>
    <row r="30" spans="1:11" x14ac:dyDescent="0.25">
      <c r="A30" t="s">
        <v>84</v>
      </c>
      <c r="B30" t="s">
        <v>85</v>
      </c>
      <c r="C30" t="s">
        <v>103</v>
      </c>
      <c r="D30" t="s">
        <v>103</v>
      </c>
      <c r="E30" t="s">
        <v>103</v>
      </c>
      <c r="H30" t="s">
        <v>103</v>
      </c>
      <c r="I30" t="s">
        <v>103</v>
      </c>
    </row>
    <row r="31" spans="1:11" x14ac:dyDescent="0.25">
      <c r="A31" t="s">
        <v>163</v>
      </c>
      <c r="B31" t="s">
        <v>164</v>
      </c>
      <c r="C31">
        <v>1</v>
      </c>
      <c r="D31">
        <v>0.75</v>
      </c>
      <c r="E31">
        <v>1</v>
      </c>
      <c r="F31" t="s">
        <v>165</v>
      </c>
      <c r="G31" t="s">
        <v>167</v>
      </c>
      <c r="H31" t="s">
        <v>103</v>
      </c>
      <c r="I31" t="s">
        <v>103</v>
      </c>
    </row>
    <row r="32" spans="1:11" x14ac:dyDescent="0.25">
      <c r="A32" t="s">
        <v>173</v>
      </c>
      <c r="B32" t="s">
        <v>174</v>
      </c>
      <c r="C32">
        <v>1</v>
      </c>
      <c r="D32">
        <v>0.3</v>
      </c>
      <c r="E32" t="s">
        <v>103</v>
      </c>
      <c r="F32" t="s">
        <v>175</v>
      </c>
      <c r="H32" t="s">
        <v>103</v>
      </c>
      <c r="I32" t="s">
        <v>103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57E61-6EC8-4702-95F0-553682FCDA05}">
  <dimension ref="A1:J32"/>
  <sheetViews>
    <sheetView topLeftCell="A13" workbookViewId="0">
      <selection activeCell="F9" sqref="F9"/>
    </sheetView>
  </sheetViews>
  <sheetFormatPr defaultRowHeight="15" x14ac:dyDescent="0.25"/>
  <cols>
    <col min="5" max="5" width="28.5703125" customWidth="1"/>
    <col min="6" max="6" width="8.5703125" customWidth="1"/>
    <col min="9" max="9" width="8.85546875" customWidth="1"/>
    <col min="10" max="10" width="21.5703125" bestFit="1" customWidth="1"/>
  </cols>
  <sheetData>
    <row r="1" spans="1:10" x14ac:dyDescent="0.25">
      <c r="A1" s="1" t="s">
        <v>0</v>
      </c>
      <c r="B1" s="1" t="s">
        <v>1</v>
      </c>
      <c r="C1" s="1" t="s">
        <v>221</v>
      </c>
      <c r="D1" s="1" t="s">
        <v>222</v>
      </c>
      <c r="E1" s="1" t="s">
        <v>227</v>
      </c>
      <c r="F1" s="1" t="s">
        <v>228</v>
      </c>
      <c r="G1" s="1" t="s">
        <v>229</v>
      </c>
      <c r="H1" s="1" t="s">
        <v>233</v>
      </c>
      <c r="I1" s="1" t="s">
        <v>234</v>
      </c>
      <c r="J1" s="1" t="s">
        <v>235</v>
      </c>
    </row>
    <row r="2" spans="1:10" x14ac:dyDescent="0.25">
      <c r="A2" t="s">
        <v>2</v>
      </c>
      <c r="B2" t="s">
        <v>3</v>
      </c>
      <c r="C2" t="s">
        <v>103</v>
      </c>
      <c r="D2" t="s">
        <v>103</v>
      </c>
      <c r="G2">
        <v>1</v>
      </c>
      <c r="H2" t="s">
        <v>103</v>
      </c>
    </row>
    <row r="3" spans="1:10" x14ac:dyDescent="0.25">
      <c r="A3" t="s">
        <v>5</v>
      </c>
      <c r="B3" t="s">
        <v>6</v>
      </c>
      <c r="C3">
        <v>0.7</v>
      </c>
      <c r="D3">
        <v>6000</v>
      </c>
      <c r="E3" t="s">
        <v>51</v>
      </c>
      <c r="G3">
        <v>1</v>
      </c>
      <c r="H3">
        <v>0.35714285714285715</v>
      </c>
      <c r="I3" t="s">
        <v>91</v>
      </c>
      <c r="J3" t="s">
        <v>236</v>
      </c>
    </row>
    <row r="4" spans="1:10" x14ac:dyDescent="0.25">
      <c r="A4" t="s">
        <v>7</v>
      </c>
      <c r="B4" t="s">
        <v>8</v>
      </c>
      <c r="C4">
        <v>0.2</v>
      </c>
      <c r="D4">
        <v>7500</v>
      </c>
      <c r="E4" t="s">
        <v>65</v>
      </c>
      <c r="G4">
        <v>2</v>
      </c>
      <c r="H4" t="s">
        <v>103</v>
      </c>
    </row>
    <row r="5" spans="1:10" x14ac:dyDescent="0.25">
      <c r="A5" t="s">
        <v>9</v>
      </c>
      <c r="B5" t="s">
        <v>10</v>
      </c>
      <c r="C5">
        <v>0.8</v>
      </c>
      <c r="D5">
        <v>6800</v>
      </c>
      <c r="E5" t="s">
        <v>55</v>
      </c>
      <c r="G5">
        <v>5</v>
      </c>
      <c r="H5" t="s">
        <v>103</v>
      </c>
    </row>
    <row r="6" spans="1:10" x14ac:dyDescent="0.25">
      <c r="A6" t="s">
        <v>11</v>
      </c>
      <c r="B6" t="s">
        <v>10</v>
      </c>
      <c r="C6">
        <v>1</v>
      </c>
      <c r="D6">
        <v>7000</v>
      </c>
      <c r="E6" t="s">
        <v>53</v>
      </c>
      <c r="F6" t="s">
        <v>68</v>
      </c>
      <c r="G6">
        <v>1</v>
      </c>
      <c r="H6">
        <v>0.83333333333333337</v>
      </c>
      <c r="J6" t="s">
        <v>53</v>
      </c>
    </row>
    <row r="7" spans="1:10" x14ac:dyDescent="0.25">
      <c r="A7" t="s">
        <v>12</v>
      </c>
      <c r="B7" t="s">
        <v>13</v>
      </c>
      <c r="C7">
        <v>0.8</v>
      </c>
      <c r="D7">
        <v>9000</v>
      </c>
      <c r="E7" t="s">
        <v>52</v>
      </c>
      <c r="G7">
        <v>3</v>
      </c>
      <c r="H7" t="s">
        <v>103</v>
      </c>
    </row>
    <row r="8" spans="1:10" x14ac:dyDescent="0.25">
      <c r="A8" t="s">
        <v>14</v>
      </c>
      <c r="B8" t="s">
        <v>15</v>
      </c>
      <c r="C8">
        <v>0.1</v>
      </c>
      <c r="D8">
        <v>7000</v>
      </c>
      <c r="E8" t="s">
        <v>66</v>
      </c>
      <c r="F8" t="s">
        <v>67</v>
      </c>
      <c r="G8">
        <v>4</v>
      </c>
      <c r="H8">
        <v>0.54545454545454541</v>
      </c>
      <c r="J8" t="s">
        <v>237</v>
      </c>
    </row>
    <row r="9" spans="1:10" x14ac:dyDescent="0.25">
      <c r="A9" t="s">
        <v>16</v>
      </c>
      <c r="B9" t="s">
        <v>10</v>
      </c>
      <c r="C9">
        <v>0.2</v>
      </c>
      <c r="D9">
        <v>6000</v>
      </c>
      <c r="E9" t="s">
        <v>53</v>
      </c>
      <c r="F9" t="s">
        <v>69</v>
      </c>
      <c r="G9">
        <v>1</v>
      </c>
      <c r="H9" t="s">
        <v>103</v>
      </c>
    </row>
    <row r="10" spans="1:10" x14ac:dyDescent="0.25">
      <c r="A10" t="s">
        <v>18</v>
      </c>
      <c r="B10" t="s">
        <v>19</v>
      </c>
      <c r="C10">
        <v>0.5</v>
      </c>
      <c r="D10">
        <v>6000</v>
      </c>
      <c r="E10" t="s">
        <v>54</v>
      </c>
      <c r="G10">
        <v>1</v>
      </c>
      <c r="H10" t="s">
        <v>103</v>
      </c>
    </row>
    <row r="11" spans="1:10" x14ac:dyDescent="0.25">
      <c r="A11" t="s">
        <v>21</v>
      </c>
      <c r="B11" t="s">
        <v>22</v>
      </c>
      <c r="C11">
        <f>30/70</f>
        <v>0.42857142857142855</v>
      </c>
      <c r="D11">
        <v>6000</v>
      </c>
      <c r="E11" t="s">
        <v>225</v>
      </c>
      <c r="F11" t="s">
        <v>226</v>
      </c>
      <c r="G11">
        <v>1</v>
      </c>
      <c r="H11" t="s">
        <v>103</v>
      </c>
    </row>
    <row r="12" spans="1:10" x14ac:dyDescent="0.25">
      <c r="A12" t="s">
        <v>23</v>
      </c>
      <c r="B12" t="s">
        <v>24</v>
      </c>
      <c r="C12">
        <v>1</v>
      </c>
      <c r="D12">
        <v>10000</v>
      </c>
      <c r="E12" t="s">
        <v>230</v>
      </c>
      <c r="G12">
        <v>2</v>
      </c>
      <c r="H12" t="s">
        <v>103</v>
      </c>
    </row>
    <row r="13" spans="1:10" x14ac:dyDescent="0.25">
      <c r="A13" t="s">
        <v>25</v>
      </c>
      <c r="B13" t="s">
        <v>26</v>
      </c>
      <c r="C13" t="s">
        <v>103</v>
      </c>
      <c r="D13" t="s">
        <v>103</v>
      </c>
      <c r="G13">
        <v>2</v>
      </c>
      <c r="H13" t="s">
        <v>103</v>
      </c>
    </row>
    <row r="14" spans="1:10" x14ac:dyDescent="0.25">
      <c r="A14" t="s">
        <v>27</v>
      </c>
      <c r="B14" t="s">
        <v>28</v>
      </c>
      <c r="C14" t="s">
        <v>103</v>
      </c>
      <c r="D14" t="s">
        <v>103</v>
      </c>
      <c r="G14">
        <v>1</v>
      </c>
      <c r="H14" t="s">
        <v>103</v>
      </c>
    </row>
    <row r="15" spans="1:10" x14ac:dyDescent="0.25">
      <c r="A15" t="s">
        <v>112</v>
      </c>
      <c r="B15" t="s">
        <v>29</v>
      </c>
      <c r="C15">
        <v>1</v>
      </c>
      <c r="D15" t="s">
        <v>103</v>
      </c>
      <c r="E15" t="s">
        <v>64</v>
      </c>
      <c r="F15" t="s">
        <v>271</v>
      </c>
      <c r="G15">
        <v>6</v>
      </c>
      <c r="H15" t="s">
        <v>103</v>
      </c>
    </row>
    <row r="16" spans="1:10" x14ac:dyDescent="0.25">
      <c r="A16" t="s">
        <v>30</v>
      </c>
      <c r="B16" t="s">
        <v>28</v>
      </c>
      <c r="C16" t="s">
        <v>103</v>
      </c>
      <c r="D16" t="s">
        <v>103</v>
      </c>
      <c r="G16">
        <v>2</v>
      </c>
      <c r="H16" t="s">
        <v>103</v>
      </c>
    </row>
    <row r="17" spans="1:10" x14ac:dyDescent="0.25">
      <c r="A17" t="s">
        <v>32</v>
      </c>
      <c r="B17" t="s">
        <v>33</v>
      </c>
      <c r="C17" t="s">
        <v>103</v>
      </c>
      <c r="D17" t="s">
        <v>103</v>
      </c>
      <c r="G17">
        <v>5</v>
      </c>
      <c r="H17" t="s">
        <v>103</v>
      </c>
    </row>
    <row r="18" spans="1:10" x14ac:dyDescent="0.25">
      <c r="A18" t="s">
        <v>34</v>
      </c>
      <c r="B18" t="s">
        <v>35</v>
      </c>
      <c r="C18">
        <v>0</v>
      </c>
      <c r="D18" t="s">
        <v>103</v>
      </c>
      <c r="E18" t="s">
        <v>56</v>
      </c>
      <c r="F18" t="s">
        <v>224</v>
      </c>
      <c r="G18">
        <v>2</v>
      </c>
      <c r="H18" t="s">
        <v>103</v>
      </c>
    </row>
    <row r="19" spans="1:10" x14ac:dyDescent="0.25">
      <c r="A19" t="s">
        <v>37</v>
      </c>
      <c r="B19" t="s">
        <v>13</v>
      </c>
      <c r="C19">
        <v>1</v>
      </c>
      <c r="D19">
        <v>8000</v>
      </c>
      <c r="E19" t="s">
        <v>183</v>
      </c>
      <c r="G19">
        <v>4</v>
      </c>
      <c r="H19">
        <f>40/220</f>
        <v>0.18181818181818182</v>
      </c>
      <c r="J19" t="s">
        <v>238</v>
      </c>
    </row>
    <row r="20" spans="1:10" x14ac:dyDescent="0.25">
      <c r="A20" t="s">
        <v>150</v>
      </c>
      <c r="B20" t="s">
        <v>151</v>
      </c>
      <c r="C20" t="s">
        <v>103</v>
      </c>
      <c r="D20" t="s">
        <v>103</v>
      </c>
      <c r="G20">
        <v>1</v>
      </c>
      <c r="H20" t="s">
        <v>103</v>
      </c>
    </row>
    <row r="21" spans="1:10" x14ac:dyDescent="0.25">
      <c r="A21" t="s">
        <v>38</v>
      </c>
      <c r="B21" t="s">
        <v>39</v>
      </c>
      <c r="C21" t="s">
        <v>103</v>
      </c>
      <c r="D21" t="s">
        <v>103</v>
      </c>
      <c r="G21">
        <v>1</v>
      </c>
      <c r="H21" t="s">
        <v>103</v>
      </c>
    </row>
    <row r="22" spans="1:10" x14ac:dyDescent="0.25">
      <c r="A22" t="s">
        <v>40</v>
      </c>
      <c r="B22" t="s">
        <v>28</v>
      </c>
      <c r="C22" t="s">
        <v>103</v>
      </c>
      <c r="D22" t="s">
        <v>103</v>
      </c>
      <c r="G22">
        <v>1</v>
      </c>
      <c r="H22" t="s">
        <v>103</v>
      </c>
    </row>
    <row r="23" spans="1:10" x14ac:dyDescent="0.25">
      <c r="A23" t="s">
        <v>41</v>
      </c>
      <c r="B23" t="s">
        <v>42</v>
      </c>
      <c r="C23">
        <v>1</v>
      </c>
      <c r="D23">
        <v>6000</v>
      </c>
      <c r="E23" t="s">
        <v>58</v>
      </c>
      <c r="G23">
        <v>1</v>
      </c>
      <c r="H23" t="s">
        <v>103</v>
      </c>
    </row>
    <row r="24" spans="1:10" x14ac:dyDescent="0.25">
      <c r="A24" t="s">
        <v>43</v>
      </c>
      <c r="B24" t="s">
        <v>44</v>
      </c>
      <c r="C24" t="s">
        <v>103</v>
      </c>
      <c r="D24" t="s">
        <v>103</v>
      </c>
      <c r="G24">
        <v>1</v>
      </c>
      <c r="H24" t="s">
        <v>103</v>
      </c>
    </row>
    <row r="25" spans="1:10" x14ac:dyDescent="0.25">
      <c r="A25" t="s">
        <v>45</v>
      </c>
      <c r="B25" t="s">
        <v>46</v>
      </c>
      <c r="C25">
        <v>0.9</v>
      </c>
      <c r="D25">
        <v>4500</v>
      </c>
      <c r="E25" t="s">
        <v>57</v>
      </c>
      <c r="F25" t="s">
        <v>60</v>
      </c>
      <c r="G25">
        <v>2</v>
      </c>
      <c r="H25">
        <v>1.6666666666666667</v>
      </c>
      <c r="I25" t="s">
        <v>90</v>
      </c>
      <c r="J25" t="s">
        <v>236</v>
      </c>
    </row>
    <row r="26" spans="1:10" x14ac:dyDescent="0.25">
      <c r="A26" t="s">
        <v>48</v>
      </c>
      <c r="B26" t="s">
        <v>49</v>
      </c>
      <c r="C26" s="2">
        <v>0.15</v>
      </c>
      <c r="D26">
        <v>8000</v>
      </c>
      <c r="E26" t="s">
        <v>50</v>
      </c>
      <c r="G26">
        <v>2</v>
      </c>
      <c r="H26">
        <v>0</v>
      </c>
    </row>
    <row r="27" spans="1:10" x14ac:dyDescent="0.25">
      <c r="A27" t="s">
        <v>61</v>
      </c>
      <c r="B27" t="s">
        <v>33</v>
      </c>
      <c r="C27">
        <v>0.5</v>
      </c>
      <c r="D27">
        <v>6000</v>
      </c>
      <c r="E27" t="s">
        <v>62</v>
      </c>
      <c r="G27">
        <v>1</v>
      </c>
      <c r="H27" t="s">
        <v>103</v>
      </c>
    </row>
    <row r="28" spans="1:10" x14ac:dyDescent="0.25">
      <c r="A28" t="s">
        <v>63</v>
      </c>
      <c r="B28" t="s">
        <v>33</v>
      </c>
      <c r="C28">
        <v>0.4</v>
      </c>
      <c r="D28">
        <v>6000</v>
      </c>
      <c r="E28" t="s">
        <v>62</v>
      </c>
      <c r="G28">
        <v>2</v>
      </c>
      <c r="H28" t="s">
        <v>103</v>
      </c>
    </row>
    <row r="29" spans="1:10" x14ac:dyDescent="0.25">
      <c r="A29" t="s">
        <v>78</v>
      </c>
      <c r="B29" t="s">
        <v>80</v>
      </c>
      <c r="C29" t="s">
        <v>103</v>
      </c>
      <c r="D29" t="s">
        <v>103</v>
      </c>
      <c r="G29">
        <v>2</v>
      </c>
      <c r="H29" t="s">
        <v>103</v>
      </c>
    </row>
    <row r="30" spans="1:10" x14ac:dyDescent="0.25">
      <c r="A30" t="s">
        <v>84</v>
      </c>
      <c r="B30" t="s">
        <v>85</v>
      </c>
      <c r="C30" t="s">
        <v>103</v>
      </c>
      <c r="D30" t="s">
        <v>103</v>
      </c>
      <c r="G30">
        <v>14</v>
      </c>
      <c r="H30" t="s">
        <v>103</v>
      </c>
    </row>
    <row r="31" spans="1:10" x14ac:dyDescent="0.25">
      <c r="A31" t="s">
        <v>163</v>
      </c>
      <c r="B31" t="s">
        <v>164</v>
      </c>
      <c r="C31">
        <f>80/270</f>
        <v>0.29629629629629628</v>
      </c>
      <c r="D31">
        <v>9300</v>
      </c>
      <c r="E31" t="s">
        <v>223</v>
      </c>
      <c r="G31">
        <v>4</v>
      </c>
      <c r="H31" t="s">
        <v>103</v>
      </c>
    </row>
    <row r="32" spans="1:10" x14ac:dyDescent="0.25">
      <c r="A32" t="s">
        <v>173</v>
      </c>
      <c r="B32" t="s">
        <v>174</v>
      </c>
      <c r="C32">
        <f>30/164</f>
        <v>0.18292682926829268</v>
      </c>
      <c r="D32">
        <v>8000</v>
      </c>
      <c r="E32" t="s">
        <v>181</v>
      </c>
      <c r="F32" t="s">
        <v>182</v>
      </c>
      <c r="G32">
        <v>1</v>
      </c>
      <c r="H32" t="s">
        <v>103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9A5B0-DBE8-48A0-8E4E-75422772F37C}">
  <dimension ref="A1:X42"/>
  <sheetViews>
    <sheetView workbookViewId="0">
      <pane xSplit="1" ySplit="2" topLeftCell="N24" activePane="bottomRight" state="frozen"/>
      <selection pane="topRight" activeCell="B1" sqref="B1"/>
      <selection pane="bottomLeft" activeCell="A3" sqref="A3"/>
      <selection pane="bottomRight" activeCell="W4" sqref="W4"/>
    </sheetView>
  </sheetViews>
  <sheetFormatPr defaultRowHeight="15" x14ac:dyDescent="0.25"/>
  <cols>
    <col min="1" max="1" width="19.85546875" bestFit="1" customWidth="1"/>
    <col min="2" max="2" width="13.85546875" customWidth="1"/>
    <col min="3" max="3" width="9.85546875" style="3" customWidth="1"/>
    <col min="4" max="4" width="10.140625" style="3" customWidth="1"/>
    <col min="5" max="7" width="9.85546875" style="3" customWidth="1"/>
    <col min="8" max="8" width="10.5703125" style="3" customWidth="1"/>
    <col min="9" max="10" width="11.5703125" customWidth="1"/>
    <col min="11" max="11" width="5.85546875" customWidth="1"/>
    <col min="12" max="12" width="5.28515625" customWidth="1"/>
    <col min="13" max="13" width="9.28515625" style="2" customWidth="1"/>
    <col min="14" max="14" width="9.7109375" style="2" customWidth="1"/>
    <col min="15" max="15" width="14" style="3" bestFit="1" customWidth="1"/>
    <col min="16" max="16" width="14" bestFit="1" customWidth="1"/>
    <col min="17" max="18" width="10.28515625" customWidth="1"/>
    <col min="19" max="19" width="16.42578125" bestFit="1" customWidth="1"/>
    <col min="20" max="20" width="16.7109375" bestFit="1" customWidth="1"/>
    <col min="21" max="21" width="18.5703125" bestFit="1" customWidth="1"/>
    <col min="22" max="22" width="7" customWidth="1"/>
    <col min="23" max="23" width="20.85546875" customWidth="1"/>
    <col min="24" max="24" width="7.85546875" customWidth="1"/>
    <col min="25" max="25" width="25.7109375" bestFit="1" customWidth="1"/>
    <col min="26" max="26" width="194.85546875" bestFit="1" customWidth="1"/>
  </cols>
  <sheetData>
    <row r="1" spans="1:24" x14ac:dyDescent="0.25">
      <c r="A1" s="1" t="s">
        <v>0</v>
      </c>
      <c r="B1" s="1" t="s">
        <v>1</v>
      </c>
      <c r="C1" s="5" t="s">
        <v>144</v>
      </c>
      <c r="D1" s="5" t="s">
        <v>146</v>
      </c>
      <c r="E1" s="5" t="s">
        <v>147</v>
      </c>
      <c r="F1" s="5" t="s">
        <v>148</v>
      </c>
      <c r="G1" s="5" t="s">
        <v>273</v>
      </c>
      <c r="H1" s="1" t="s">
        <v>210</v>
      </c>
      <c r="I1" s="1" t="s">
        <v>211</v>
      </c>
      <c r="J1" s="1" t="s">
        <v>209</v>
      </c>
      <c r="K1" s="6" t="s">
        <v>132</v>
      </c>
      <c r="L1" s="6" t="s">
        <v>133</v>
      </c>
      <c r="M1" s="5" t="s">
        <v>96</v>
      </c>
      <c r="N1" s="5" t="s">
        <v>97</v>
      </c>
      <c r="O1" s="1" t="s">
        <v>161</v>
      </c>
      <c r="P1" s="1" t="s">
        <v>162</v>
      </c>
      <c r="Q1" s="1" t="s">
        <v>279</v>
      </c>
      <c r="R1" s="1" t="s">
        <v>280</v>
      </c>
      <c r="S1" s="1" t="s">
        <v>189</v>
      </c>
      <c r="T1" s="1" t="s">
        <v>188</v>
      </c>
      <c r="U1" s="1" t="s">
        <v>93</v>
      </c>
      <c r="V1" s="1" t="s">
        <v>123</v>
      </c>
      <c r="W1" s="1" t="s">
        <v>70</v>
      </c>
      <c r="X1" s="1" t="s">
        <v>59</v>
      </c>
    </row>
    <row r="2" spans="1:24" x14ac:dyDescent="0.25">
      <c r="C2" s="5" t="s">
        <v>145</v>
      </c>
      <c r="D2" s="5" t="s">
        <v>145</v>
      </c>
      <c r="E2" s="5" t="s">
        <v>145</v>
      </c>
      <c r="F2" s="5" t="s">
        <v>145</v>
      </c>
      <c r="G2" s="5" t="s">
        <v>4</v>
      </c>
      <c r="H2" s="1" t="s">
        <v>149</v>
      </c>
      <c r="I2" s="1" t="s">
        <v>149</v>
      </c>
      <c r="J2" s="1" t="s">
        <v>4</v>
      </c>
      <c r="K2" s="6" t="s">
        <v>4</v>
      </c>
      <c r="L2" s="6" t="s">
        <v>4</v>
      </c>
      <c r="M2" s="5" t="s">
        <v>145</v>
      </c>
      <c r="N2" s="1" t="s">
        <v>145</v>
      </c>
      <c r="O2" s="1" t="s">
        <v>159</v>
      </c>
      <c r="P2" s="1" t="s">
        <v>159</v>
      </c>
      <c r="Q2" s="1" t="s">
        <v>278</v>
      </c>
      <c r="R2" s="1" t="s">
        <v>278</v>
      </c>
      <c r="S2" s="1"/>
      <c r="T2" s="1"/>
      <c r="U2" s="1"/>
      <c r="V2" s="1" t="s">
        <v>166</v>
      </c>
    </row>
    <row r="3" spans="1:24" x14ac:dyDescent="0.25">
      <c r="A3" t="s">
        <v>5</v>
      </c>
      <c r="B3" t="s">
        <v>6</v>
      </c>
      <c r="C3" s="3">
        <v>3.7</v>
      </c>
      <c r="D3" s="3">
        <v>17.8</v>
      </c>
      <c r="E3" s="3">
        <v>2.1E-7</v>
      </c>
      <c r="F3" s="3">
        <v>4.6499999999999999E-5</v>
      </c>
      <c r="G3" s="8">
        <v>1</v>
      </c>
      <c r="H3" s="3" t="s">
        <v>103</v>
      </c>
      <c r="I3" s="3" t="s">
        <v>103</v>
      </c>
      <c r="J3" s="8">
        <v>1</v>
      </c>
      <c r="K3" s="2" t="s">
        <v>103</v>
      </c>
      <c r="L3" s="2" t="s">
        <v>103</v>
      </c>
      <c r="M3" s="3" t="s">
        <v>103</v>
      </c>
      <c r="N3" s="3" t="s">
        <v>103</v>
      </c>
      <c r="O3" s="3" t="s">
        <v>103</v>
      </c>
      <c r="P3" s="3" t="s">
        <v>103</v>
      </c>
      <c r="Q3" s="3">
        <v>7.2999999999999999E-5</v>
      </c>
      <c r="R3" s="3">
        <v>5.0000000000000001E-4</v>
      </c>
      <c r="S3" s="3" t="s">
        <v>194</v>
      </c>
      <c r="T3" s="3" t="s">
        <v>198</v>
      </c>
      <c r="U3" t="s">
        <v>95</v>
      </c>
      <c r="V3">
        <v>600</v>
      </c>
      <c r="W3" t="s">
        <v>106</v>
      </c>
      <c r="X3" t="s">
        <v>92</v>
      </c>
    </row>
    <row r="4" spans="1:24" x14ac:dyDescent="0.25">
      <c r="A4" t="s">
        <v>5</v>
      </c>
      <c r="B4" t="s">
        <v>6</v>
      </c>
      <c r="C4" s="3">
        <v>50</v>
      </c>
      <c r="D4" s="3">
        <v>120</v>
      </c>
      <c r="E4" s="3">
        <v>5.0000000000000002E-5</v>
      </c>
      <c r="F4" s="3">
        <v>5.0000000000000001E-4</v>
      </c>
      <c r="G4" s="8">
        <v>1</v>
      </c>
      <c r="H4" t="s">
        <v>103</v>
      </c>
      <c r="I4" t="s">
        <v>103</v>
      </c>
      <c r="J4" s="8">
        <v>1</v>
      </c>
      <c r="K4" s="2" t="s">
        <v>103</v>
      </c>
      <c r="L4" s="2" t="s">
        <v>103</v>
      </c>
      <c r="M4" s="3">
        <f>0.03*1.191/365.25</f>
        <v>9.7823408624229968E-5</v>
      </c>
      <c r="N4" s="3">
        <f>0.03*1.191/365.25</f>
        <v>9.7823408624229968E-5</v>
      </c>
      <c r="O4" s="3" t="s">
        <v>103</v>
      </c>
      <c r="P4" s="3" t="s">
        <v>103</v>
      </c>
      <c r="Q4" s="3">
        <f>0.0001/30</f>
        <v>3.3333333333333333E-6</v>
      </c>
      <c r="R4" s="3">
        <f>0.003/30</f>
        <v>1E-4</v>
      </c>
      <c r="S4" s="3" t="s">
        <v>197</v>
      </c>
      <c r="T4" s="3" t="s">
        <v>195</v>
      </c>
      <c r="U4" t="s">
        <v>95</v>
      </c>
      <c r="V4">
        <v>600</v>
      </c>
      <c r="W4" t="s">
        <v>107</v>
      </c>
      <c r="X4" t="s">
        <v>207</v>
      </c>
    </row>
    <row r="5" spans="1:24" x14ac:dyDescent="0.25">
      <c r="A5" t="s">
        <v>14</v>
      </c>
      <c r="B5" t="s">
        <v>15</v>
      </c>
      <c r="C5" s="3">
        <f>0.0002*86400</f>
        <v>17.28</v>
      </c>
      <c r="D5" s="3">
        <f>0.0008*86400</f>
        <v>69.12</v>
      </c>
      <c r="E5" s="3">
        <f>0.00000001*86400</f>
        <v>8.6399999999999997E-4</v>
      </c>
      <c r="F5" s="3">
        <f>0.00000009*86400</f>
        <v>7.7759999999999999E-3</v>
      </c>
      <c r="G5" s="8">
        <v>1</v>
      </c>
      <c r="H5" t="s">
        <v>103</v>
      </c>
      <c r="I5" t="s">
        <v>103</v>
      </c>
      <c r="J5" s="8">
        <v>1</v>
      </c>
      <c r="K5" s="2" t="s">
        <v>103</v>
      </c>
      <c r="L5" s="2" t="s">
        <v>103</v>
      </c>
      <c r="M5" s="3" t="s">
        <v>103</v>
      </c>
      <c r="N5" s="3" t="s">
        <v>103</v>
      </c>
      <c r="O5" s="3" t="s">
        <v>103</v>
      </c>
      <c r="P5" s="3" t="s">
        <v>103</v>
      </c>
      <c r="Q5" s="3">
        <v>9.3999999999999994E-5</v>
      </c>
      <c r="R5" s="3">
        <v>9.3999999999999994E-5</v>
      </c>
      <c r="S5" s="3" t="s">
        <v>191</v>
      </c>
      <c r="T5" s="3" t="s">
        <v>193</v>
      </c>
      <c r="U5" t="s">
        <v>95</v>
      </c>
      <c r="V5">
        <v>2500</v>
      </c>
      <c r="W5" t="s">
        <v>99</v>
      </c>
      <c r="X5" t="s">
        <v>208</v>
      </c>
    </row>
    <row r="6" spans="1:24" x14ac:dyDescent="0.25">
      <c r="A6" t="s">
        <v>21</v>
      </c>
      <c r="B6" t="s">
        <v>22</v>
      </c>
      <c r="C6" s="3">
        <f>0.000001*86400</f>
        <v>8.6399999999999991E-2</v>
      </c>
      <c r="D6" s="3">
        <f>0.001*86400</f>
        <v>86.4</v>
      </c>
      <c r="E6" s="3" t="s">
        <v>103</v>
      </c>
      <c r="F6" s="3" t="s">
        <v>103</v>
      </c>
      <c r="G6" s="8" t="s">
        <v>103</v>
      </c>
      <c r="H6">
        <v>10</v>
      </c>
      <c r="I6">
        <v>10</v>
      </c>
      <c r="J6" s="8">
        <v>1</v>
      </c>
      <c r="K6" s="2">
        <v>0.25</v>
      </c>
      <c r="L6" s="2">
        <v>0.25</v>
      </c>
      <c r="M6" s="3">
        <f>0.155/365.25</f>
        <v>4.2436687200547572E-4</v>
      </c>
      <c r="N6" s="3">
        <f>0.155/365.25</f>
        <v>4.2436687200547572E-4</v>
      </c>
      <c r="O6" s="3" t="s">
        <v>103</v>
      </c>
      <c r="P6" s="3" t="s">
        <v>103</v>
      </c>
      <c r="Q6" s="3">
        <v>1.0000000000000001E-5</v>
      </c>
      <c r="R6" s="3">
        <v>1E-4</v>
      </c>
      <c r="S6" s="3" t="s">
        <v>197</v>
      </c>
      <c r="T6" s="3" t="s">
        <v>199</v>
      </c>
      <c r="U6" t="s">
        <v>94</v>
      </c>
      <c r="V6">
        <v>20</v>
      </c>
      <c r="W6" t="s">
        <v>101</v>
      </c>
      <c r="X6" t="s">
        <v>100</v>
      </c>
    </row>
    <row r="7" spans="1:24" x14ac:dyDescent="0.25">
      <c r="A7" t="s">
        <v>21</v>
      </c>
      <c r="B7" t="s">
        <v>22</v>
      </c>
      <c r="C7" s="3">
        <f>0.000001*86400</f>
        <v>8.6399999999999991E-2</v>
      </c>
      <c r="D7" s="3">
        <f>0.000005*86400</f>
        <v>0.43200000000000005</v>
      </c>
      <c r="E7" s="3">
        <f>0.0000000001*86400</f>
        <v>8.6400000000000003E-6</v>
      </c>
      <c r="F7" s="3">
        <f>0.00000001*86400</f>
        <v>8.6399999999999997E-4</v>
      </c>
      <c r="G7" s="8">
        <v>1</v>
      </c>
      <c r="H7">
        <v>10</v>
      </c>
      <c r="I7">
        <v>10</v>
      </c>
      <c r="J7" s="8">
        <v>1</v>
      </c>
      <c r="K7" s="2" t="s">
        <v>103</v>
      </c>
      <c r="L7" s="2" t="s">
        <v>103</v>
      </c>
      <c r="M7" s="3" t="s">
        <v>103</v>
      </c>
      <c r="N7" s="3" t="s">
        <v>103</v>
      </c>
      <c r="O7" s="3" t="s">
        <v>103</v>
      </c>
      <c r="P7" s="3" t="s">
        <v>103</v>
      </c>
      <c r="Q7" s="3" t="s">
        <v>103</v>
      </c>
      <c r="R7" s="3" t="s">
        <v>103</v>
      </c>
      <c r="S7" s="3" t="s">
        <v>196</v>
      </c>
      <c r="T7" s="3" t="s">
        <v>193</v>
      </c>
      <c r="U7" t="s">
        <v>103</v>
      </c>
      <c r="V7">
        <v>10000</v>
      </c>
      <c r="W7" t="s">
        <v>77</v>
      </c>
      <c r="X7" t="s">
        <v>102</v>
      </c>
    </row>
    <row r="8" spans="1:24" x14ac:dyDescent="0.25">
      <c r="A8" t="s">
        <v>23</v>
      </c>
      <c r="B8" t="s">
        <v>24</v>
      </c>
      <c r="C8" s="3" t="s">
        <v>103</v>
      </c>
      <c r="D8" s="3" t="s">
        <v>103</v>
      </c>
      <c r="E8" s="3" t="s">
        <v>103</v>
      </c>
      <c r="F8" s="3" t="s">
        <v>103</v>
      </c>
      <c r="G8" s="8" t="s">
        <v>103</v>
      </c>
      <c r="H8" t="s">
        <v>103</v>
      </c>
      <c r="I8" t="s">
        <v>103</v>
      </c>
      <c r="J8" s="8">
        <v>1</v>
      </c>
      <c r="K8" s="2">
        <v>0.3</v>
      </c>
      <c r="L8" s="2">
        <v>0.3</v>
      </c>
      <c r="M8" s="3">
        <f>25000*1000000*0.001/(850*1000000)/365.25</f>
        <v>8.0525023150944153E-5</v>
      </c>
      <c r="N8" s="3">
        <f>250000*1000000*0.001/(850*1000000)/365.25</f>
        <v>8.0525023150944158E-4</v>
      </c>
      <c r="O8" s="3" t="s">
        <v>103</v>
      </c>
      <c r="P8" s="3" t="s">
        <v>103</v>
      </c>
      <c r="Q8" s="3" t="s">
        <v>103</v>
      </c>
      <c r="R8" s="3" t="s">
        <v>103</v>
      </c>
      <c r="S8" s="3" t="s">
        <v>103</v>
      </c>
      <c r="T8" s="3" t="s">
        <v>103</v>
      </c>
      <c r="U8" t="s">
        <v>94</v>
      </c>
      <c r="V8">
        <v>100</v>
      </c>
      <c r="W8" t="s">
        <v>104</v>
      </c>
      <c r="X8" t="s">
        <v>205</v>
      </c>
    </row>
    <row r="9" spans="1:24" x14ac:dyDescent="0.25">
      <c r="A9" t="s">
        <v>23</v>
      </c>
      <c r="B9" t="s">
        <v>24</v>
      </c>
      <c r="C9" s="3">
        <v>10</v>
      </c>
      <c r="D9" s="3">
        <v>200</v>
      </c>
      <c r="E9" s="3" t="s">
        <v>103</v>
      </c>
      <c r="F9" s="3" t="s">
        <v>103</v>
      </c>
      <c r="G9" s="8" t="s">
        <v>103</v>
      </c>
      <c r="H9">
        <v>1</v>
      </c>
      <c r="I9">
        <v>1</v>
      </c>
      <c r="J9" s="8">
        <v>1</v>
      </c>
      <c r="K9" s="2">
        <v>0.3</v>
      </c>
      <c r="L9" s="2">
        <v>0.3</v>
      </c>
      <c r="M9" s="3" t="s">
        <v>103</v>
      </c>
      <c r="N9" s="3" t="s">
        <v>103</v>
      </c>
      <c r="O9" s="3" t="s">
        <v>103</v>
      </c>
      <c r="P9" s="3" t="s">
        <v>103</v>
      </c>
      <c r="Q9" s="3" t="s">
        <v>103</v>
      </c>
      <c r="R9" s="3" t="s">
        <v>103</v>
      </c>
      <c r="S9" s="3" t="s">
        <v>190</v>
      </c>
      <c r="T9" s="3" t="s">
        <v>192</v>
      </c>
      <c r="U9" t="s">
        <v>94</v>
      </c>
      <c r="V9">
        <v>50</v>
      </c>
      <c r="W9" t="s">
        <v>105</v>
      </c>
      <c r="X9" t="s">
        <v>277</v>
      </c>
    </row>
    <row r="10" spans="1:24" x14ac:dyDescent="0.25">
      <c r="A10" t="s">
        <v>9</v>
      </c>
      <c r="B10" t="s">
        <v>10</v>
      </c>
      <c r="C10" s="3">
        <f>0.01*86400*0.01</f>
        <v>8.64</v>
      </c>
      <c r="D10" s="3">
        <f>0.01*86400*0.01</f>
        <v>8.64</v>
      </c>
      <c r="E10" s="3">
        <f>0.00000001*86400*0.01</f>
        <v>8.6400000000000003E-6</v>
      </c>
      <c r="F10" s="3">
        <f>0.0000001*86400*0.01</f>
        <v>8.6399999999999999E-5</v>
      </c>
      <c r="G10" s="8">
        <v>0</v>
      </c>
      <c r="H10" t="s">
        <v>103</v>
      </c>
      <c r="I10" t="s">
        <v>103</v>
      </c>
      <c r="J10" s="8">
        <v>1</v>
      </c>
      <c r="K10" s="2" t="s">
        <v>103</v>
      </c>
      <c r="L10" s="2" t="s">
        <v>103</v>
      </c>
      <c r="M10" s="3" t="s">
        <v>103</v>
      </c>
      <c r="N10" s="3" t="s">
        <v>103</v>
      </c>
      <c r="O10" s="3" t="s">
        <v>103</v>
      </c>
      <c r="P10" s="3" t="s">
        <v>103</v>
      </c>
      <c r="Q10" s="3" t="s">
        <v>103</v>
      </c>
      <c r="R10" s="3" t="s">
        <v>103</v>
      </c>
      <c r="S10" s="3" t="s">
        <v>190</v>
      </c>
      <c r="T10" s="3" t="s">
        <v>195</v>
      </c>
      <c r="U10" t="s">
        <v>103</v>
      </c>
      <c r="V10">
        <v>50</v>
      </c>
      <c r="W10" t="s">
        <v>108</v>
      </c>
      <c r="X10" t="s">
        <v>274</v>
      </c>
    </row>
    <row r="11" spans="1:24" x14ac:dyDescent="0.25">
      <c r="A11" t="s">
        <v>109</v>
      </c>
      <c r="B11" t="s">
        <v>33</v>
      </c>
      <c r="C11" s="3">
        <v>15.353999999999999</v>
      </c>
      <c r="D11" s="3">
        <v>15.353999999999999</v>
      </c>
      <c r="E11" s="3" t="s">
        <v>103</v>
      </c>
      <c r="F11" s="3" t="s">
        <v>103</v>
      </c>
      <c r="G11" s="8" t="s">
        <v>103</v>
      </c>
      <c r="H11" t="s">
        <v>103</v>
      </c>
      <c r="I11" t="s">
        <v>103</v>
      </c>
      <c r="J11" s="8">
        <v>1</v>
      </c>
      <c r="K11" s="2" t="s">
        <v>103</v>
      </c>
      <c r="L11" s="2" t="s">
        <v>103</v>
      </c>
      <c r="M11" s="3" t="s">
        <v>103</v>
      </c>
      <c r="N11" s="3" t="s">
        <v>103</v>
      </c>
      <c r="O11" s="3" t="s">
        <v>103</v>
      </c>
      <c r="P11" s="3" t="s">
        <v>103</v>
      </c>
      <c r="Q11" s="3" t="s">
        <v>103</v>
      </c>
      <c r="R11" s="3" t="s">
        <v>103</v>
      </c>
      <c r="S11" s="3" t="s">
        <v>103</v>
      </c>
      <c r="T11" s="3" t="s">
        <v>103</v>
      </c>
      <c r="U11" t="s">
        <v>103</v>
      </c>
      <c r="V11" s="3" t="s">
        <v>103</v>
      </c>
      <c r="W11" t="s">
        <v>110</v>
      </c>
    </row>
    <row r="12" spans="1:24" x14ac:dyDescent="0.25">
      <c r="A12" t="s">
        <v>112</v>
      </c>
      <c r="B12" t="s">
        <v>29</v>
      </c>
      <c r="C12" s="3">
        <f>0.001*0.01*86400</f>
        <v>0.8640000000000001</v>
      </c>
      <c r="D12" s="3">
        <f>0.001*0.01*86400</f>
        <v>0.8640000000000001</v>
      </c>
      <c r="E12" s="3">
        <f>0.00001*0.01*86400</f>
        <v>8.6400000000000001E-3</v>
      </c>
      <c r="F12" s="3">
        <f>0.00001*0.01*86400</f>
        <v>8.6400000000000001E-3</v>
      </c>
      <c r="G12" s="8">
        <v>1</v>
      </c>
      <c r="H12" t="s">
        <v>103</v>
      </c>
      <c r="I12" t="s">
        <v>103</v>
      </c>
      <c r="J12" s="8">
        <v>1</v>
      </c>
      <c r="K12" s="2" t="s">
        <v>103</v>
      </c>
      <c r="L12" s="2" t="s">
        <v>103</v>
      </c>
      <c r="M12" s="3" t="s">
        <v>103</v>
      </c>
      <c r="N12" s="3" t="s">
        <v>103</v>
      </c>
      <c r="O12" s="3" t="s">
        <v>103</v>
      </c>
      <c r="P12" s="3" t="s">
        <v>103</v>
      </c>
      <c r="Q12" s="3" t="s">
        <v>103</v>
      </c>
      <c r="R12" s="3" t="s">
        <v>103</v>
      </c>
      <c r="S12" s="3" t="s">
        <v>103</v>
      </c>
      <c r="T12" s="3" t="s">
        <v>103</v>
      </c>
      <c r="U12" t="s">
        <v>103</v>
      </c>
      <c r="V12">
        <v>140</v>
      </c>
      <c r="W12" t="s">
        <v>113</v>
      </c>
    </row>
    <row r="13" spans="1:24" x14ac:dyDescent="0.25">
      <c r="A13" t="s">
        <v>45</v>
      </c>
      <c r="B13" t="s">
        <v>46</v>
      </c>
      <c r="C13" s="3">
        <f>0.000017*86400</f>
        <v>1.4687999999999999</v>
      </c>
      <c r="D13" s="3">
        <f>0.0022*86400</f>
        <v>190.08</v>
      </c>
      <c r="E13" s="3" t="s">
        <v>103</v>
      </c>
      <c r="F13" s="3" t="s">
        <v>103</v>
      </c>
      <c r="G13" s="8" t="s">
        <v>103</v>
      </c>
      <c r="H13" t="s">
        <v>103</v>
      </c>
      <c r="I13" t="s">
        <v>103</v>
      </c>
      <c r="J13" s="8">
        <v>1</v>
      </c>
      <c r="K13" s="2" t="s">
        <v>103</v>
      </c>
      <c r="L13" s="2" t="s">
        <v>103</v>
      </c>
      <c r="M13" s="3">
        <v>0</v>
      </c>
      <c r="N13" s="3" t="s">
        <v>103</v>
      </c>
      <c r="O13" s="3" t="s">
        <v>103</v>
      </c>
      <c r="P13" s="3" t="s">
        <v>103</v>
      </c>
      <c r="Q13" s="3" t="s">
        <v>103</v>
      </c>
      <c r="R13" s="3" t="s">
        <v>103</v>
      </c>
      <c r="S13" s="3" t="s">
        <v>103</v>
      </c>
      <c r="T13" s="3" t="s">
        <v>103</v>
      </c>
      <c r="U13" t="s">
        <v>94</v>
      </c>
      <c r="V13">
        <v>80</v>
      </c>
      <c r="W13" t="s">
        <v>47</v>
      </c>
    </row>
    <row r="14" spans="1:24" x14ac:dyDescent="0.25">
      <c r="A14" t="s">
        <v>38</v>
      </c>
      <c r="B14" t="s">
        <v>39</v>
      </c>
      <c r="C14" s="3">
        <f>0.00517*86400/250</f>
        <v>1.7867519999999999</v>
      </c>
      <c r="D14" s="3">
        <f>0.122*86400/250</f>
        <v>42.163199999999996</v>
      </c>
      <c r="E14" s="3" t="s">
        <v>103</v>
      </c>
      <c r="F14" s="3" t="s">
        <v>103</v>
      </c>
      <c r="G14" s="8" t="s">
        <v>103</v>
      </c>
      <c r="H14" t="s">
        <v>103</v>
      </c>
      <c r="I14" t="s">
        <v>103</v>
      </c>
      <c r="J14" s="8">
        <v>1</v>
      </c>
      <c r="K14" s="2" t="s">
        <v>103</v>
      </c>
      <c r="L14" s="2" t="s">
        <v>103</v>
      </c>
      <c r="M14" s="3">
        <f>0.015/365.25</f>
        <v>4.1067761806981516E-5</v>
      </c>
      <c r="N14" s="3">
        <f>0.015/365.25</f>
        <v>4.1067761806981516E-5</v>
      </c>
      <c r="O14" s="3" t="s">
        <v>103</v>
      </c>
      <c r="P14" s="3" t="s">
        <v>103</v>
      </c>
      <c r="Q14" s="3">
        <f>0.003/250</f>
        <v>1.2E-5</v>
      </c>
      <c r="R14" s="3">
        <f>0.263/250</f>
        <v>1.052E-3</v>
      </c>
      <c r="S14" s="3" t="s">
        <v>197</v>
      </c>
      <c r="T14" s="3" t="s">
        <v>199</v>
      </c>
      <c r="U14" t="s">
        <v>95</v>
      </c>
      <c r="V14">
        <v>250</v>
      </c>
      <c r="W14" t="s">
        <v>114</v>
      </c>
      <c r="X14" t="s">
        <v>115</v>
      </c>
    </row>
    <row r="15" spans="1:24" x14ac:dyDescent="0.25">
      <c r="A15" t="s">
        <v>16</v>
      </c>
      <c r="B15" t="s">
        <v>10</v>
      </c>
      <c r="C15" s="3">
        <v>1.8</v>
      </c>
      <c r="D15" s="3">
        <v>200</v>
      </c>
      <c r="E15" s="3" t="s">
        <v>103</v>
      </c>
      <c r="F15" s="3" t="s">
        <v>103</v>
      </c>
      <c r="G15" s="8" t="s">
        <v>103</v>
      </c>
      <c r="H15">
        <v>10000</v>
      </c>
      <c r="I15">
        <v>10000</v>
      </c>
      <c r="J15" s="8">
        <v>0</v>
      </c>
      <c r="K15" s="2">
        <v>0.25</v>
      </c>
      <c r="L15" s="2">
        <v>0.25</v>
      </c>
      <c r="M15" s="3" t="s">
        <v>103</v>
      </c>
      <c r="N15" s="3" t="s">
        <v>103</v>
      </c>
      <c r="O15" s="3" t="s">
        <v>103</v>
      </c>
      <c r="P15" s="3" t="s">
        <v>103</v>
      </c>
      <c r="Q15" s="3" t="s">
        <v>103</v>
      </c>
      <c r="R15" s="3" t="s">
        <v>103</v>
      </c>
      <c r="S15" s="3" t="s">
        <v>195</v>
      </c>
      <c r="T15" s="3" t="s">
        <v>195</v>
      </c>
      <c r="U15" t="s">
        <v>95</v>
      </c>
      <c r="V15">
        <v>1000</v>
      </c>
      <c r="W15" t="s">
        <v>120</v>
      </c>
      <c r="X15" t="s">
        <v>116</v>
      </c>
    </row>
    <row r="16" spans="1:24" x14ac:dyDescent="0.25">
      <c r="A16" t="s">
        <v>43</v>
      </c>
      <c r="B16" t="s">
        <v>117</v>
      </c>
      <c r="C16" s="3">
        <v>0.3</v>
      </c>
      <c r="D16" s="3">
        <v>43</v>
      </c>
      <c r="E16" s="3">
        <f>0.04/H16</f>
        <v>4.0000000000000001E-3</v>
      </c>
      <c r="F16" s="3">
        <f>0.04/I16</f>
        <v>4.0000000000000001E-3</v>
      </c>
      <c r="G16" s="8">
        <v>1</v>
      </c>
      <c r="H16">
        <v>10</v>
      </c>
      <c r="I16">
        <v>10</v>
      </c>
      <c r="J16" s="8">
        <v>1</v>
      </c>
      <c r="K16" s="2">
        <v>0.3</v>
      </c>
      <c r="L16" s="2">
        <v>0.3</v>
      </c>
      <c r="M16" s="3">
        <v>1.3999999999999999E-4</v>
      </c>
      <c r="N16" s="3">
        <v>5.9999999999999995E-4</v>
      </c>
      <c r="O16" s="3" t="s">
        <v>103</v>
      </c>
      <c r="P16" s="3" t="s">
        <v>103</v>
      </c>
      <c r="Q16" s="3">
        <v>1.4999999999999999E-7</v>
      </c>
      <c r="R16" s="3">
        <v>1.4999999999999999E-7</v>
      </c>
      <c r="S16" s="3" t="s">
        <v>190</v>
      </c>
      <c r="T16" s="3" t="s">
        <v>198</v>
      </c>
      <c r="U16" t="s">
        <v>95</v>
      </c>
      <c r="V16">
        <v>5000</v>
      </c>
      <c r="W16" t="s">
        <v>119</v>
      </c>
      <c r="X16" t="s">
        <v>118</v>
      </c>
    </row>
    <row r="17" spans="1:24" x14ac:dyDescent="0.25">
      <c r="A17" t="s">
        <v>43</v>
      </c>
      <c r="B17" t="s">
        <v>117</v>
      </c>
      <c r="C17" s="3">
        <f>32*0.3048</f>
        <v>9.7536000000000005</v>
      </c>
      <c r="D17" s="3">
        <f>374*0.3048</f>
        <v>113.99520000000001</v>
      </c>
      <c r="E17" s="3" t="s">
        <v>103</v>
      </c>
      <c r="F17" s="3" t="s">
        <v>103</v>
      </c>
      <c r="G17" s="8" t="s">
        <v>103</v>
      </c>
      <c r="H17" t="s">
        <v>103</v>
      </c>
      <c r="I17" t="s">
        <v>103</v>
      </c>
      <c r="J17" s="8">
        <v>1</v>
      </c>
      <c r="K17" s="2" t="s">
        <v>103</v>
      </c>
      <c r="L17" s="2" t="s">
        <v>103</v>
      </c>
      <c r="M17" s="3" t="s">
        <v>103</v>
      </c>
      <c r="N17" s="3" t="s">
        <v>103</v>
      </c>
      <c r="O17" s="3" t="s">
        <v>103</v>
      </c>
      <c r="P17" s="3" t="s">
        <v>103</v>
      </c>
      <c r="Q17" s="3" t="s">
        <v>103</v>
      </c>
      <c r="R17" s="3" t="s">
        <v>103</v>
      </c>
      <c r="S17" s="3" t="s">
        <v>190</v>
      </c>
      <c r="T17" s="3" t="s">
        <v>200</v>
      </c>
      <c r="U17" t="s">
        <v>95</v>
      </c>
      <c r="V17">
        <v>1000</v>
      </c>
      <c r="W17" t="s">
        <v>83</v>
      </c>
      <c r="X17" t="s">
        <v>116</v>
      </c>
    </row>
    <row r="18" spans="1:24" x14ac:dyDescent="0.25">
      <c r="A18" t="s">
        <v>84</v>
      </c>
      <c r="B18" t="s">
        <v>85</v>
      </c>
      <c r="C18" s="3">
        <f>0.0105/50*86400</f>
        <v>18.144000000000002</v>
      </c>
      <c r="D18" s="3">
        <f>0.0858/50*86400</f>
        <v>148.26240000000001</v>
      </c>
      <c r="E18" s="3" t="s">
        <v>103</v>
      </c>
      <c r="F18" s="3" t="s">
        <v>103</v>
      </c>
      <c r="G18" s="8" t="s">
        <v>103</v>
      </c>
      <c r="H18" t="s">
        <v>103</v>
      </c>
      <c r="I18" t="s">
        <v>103</v>
      </c>
      <c r="J18" s="8">
        <v>1</v>
      </c>
      <c r="K18" s="2" t="s">
        <v>103</v>
      </c>
      <c r="L18" s="2" t="s">
        <v>103</v>
      </c>
      <c r="M18" s="3" t="s">
        <v>103</v>
      </c>
      <c r="N18" s="3" t="s">
        <v>103</v>
      </c>
      <c r="O18" s="3" t="s">
        <v>103</v>
      </c>
      <c r="P18" s="3" t="s">
        <v>103</v>
      </c>
      <c r="Q18" s="3">
        <f>0.000107/50</f>
        <v>2.1399999999999998E-6</v>
      </c>
      <c r="R18" s="3">
        <f>0.000353/50</f>
        <v>7.0600000000000002E-6</v>
      </c>
      <c r="S18" s="3" t="s">
        <v>197</v>
      </c>
      <c r="T18" s="3" t="s">
        <v>201</v>
      </c>
      <c r="U18" t="s">
        <v>95</v>
      </c>
      <c r="V18">
        <v>250</v>
      </c>
      <c r="W18" t="s">
        <v>121</v>
      </c>
      <c r="X18" t="s">
        <v>122</v>
      </c>
    </row>
    <row r="19" spans="1:24" x14ac:dyDescent="0.25">
      <c r="A19" t="s">
        <v>11</v>
      </c>
      <c r="B19" t="s">
        <v>10</v>
      </c>
      <c r="C19" s="3">
        <v>4</v>
      </c>
      <c r="D19" s="3">
        <v>15</v>
      </c>
      <c r="E19" s="3">
        <v>9.9999999999999995E-7</v>
      </c>
      <c r="F19" s="3">
        <v>2.0000000000000002E-5</v>
      </c>
      <c r="G19" s="8">
        <v>1</v>
      </c>
      <c r="H19" s="4" t="s">
        <v>103</v>
      </c>
      <c r="I19" s="4" t="s">
        <v>103</v>
      </c>
      <c r="J19" s="8">
        <v>1</v>
      </c>
      <c r="K19" s="2" t="s">
        <v>103</v>
      </c>
      <c r="L19" s="2" t="s">
        <v>103</v>
      </c>
      <c r="M19" s="3" t="s">
        <v>103</v>
      </c>
      <c r="N19" s="3" t="s">
        <v>103</v>
      </c>
      <c r="O19" s="3" t="s">
        <v>103</v>
      </c>
      <c r="P19" s="3" t="s">
        <v>103</v>
      </c>
      <c r="Q19" s="3" t="s">
        <v>103</v>
      </c>
      <c r="R19" s="3" t="s">
        <v>103</v>
      </c>
      <c r="S19" s="3" t="s">
        <v>191</v>
      </c>
      <c r="T19" s="3" t="s">
        <v>199</v>
      </c>
      <c r="U19" s="4" t="s">
        <v>95</v>
      </c>
      <c r="V19">
        <v>350</v>
      </c>
      <c r="W19" t="s">
        <v>127</v>
      </c>
      <c r="X19" t="s">
        <v>128</v>
      </c>
    </row>
    <row r="20" spans="1:24" x14ac:dyDescent="0.25">
      <c r="A20" t="s">
        <v>9</v>
      </c>
      <c r="B20" t="s">
        <v>10</v>
      </c>
      <c r="C20" s="3">
        <v>1</v>
      </c>
      <c r="D20" s="3">
        <v>30</v>
      </c>
      <c r="E20" s="3">
        <v>1.0000000000000001E-5</v>
      </c>
      <c r="F20" s="3">
        <v>1E-3</v>
      </c>
      <c r="G20" s="8">
        <v>1</v>
      </c>
      <c r="H20" s="4" t="s">
        <v>103</v>
      </c>
      <c r="I20" s="4" t="s">
        <v>103</v>
      </c>
      <c r="J20" s="8">
        <v>1</v>
      </c>
      <c r="K20" s="2" t="s">
        <v>103</v>
      </c>
      <c r="L20" s="2" t="s">
        <v>103</v>
      </c>
      <c r="M20" s="3">
        <f>100/1000/365.25</f>
        <v>2.7378507871321013E-4</v>
      </c>
      <c r="N20" s="3">
        <f>100/1000/365.25</f>
        <v>2.7378507871321013E-4</v>
      </c>
      <c r="O20" s="3" t="s">
        <v>103</v>
      </c>
      <c r="P20" s="3" t="s">
        <v>103</v>
      </c>
      <c r="Q20" s="3">
        <v>5.0000000000000001E-4</v>
      </c>
      <c r="R20" s="3">
        <v>5.0000000000000001E-3</v>
      </c>
      <c r="S20" s="3" t="s">
        <v>202</v>
      </c>
      <c r="T20" s="3" t="s">
        <v>193</v>
      </c>
      <c r="U20" s="4" t="s">
        <v>95</v>
      </c>
      <c r="V20">
        <v>50</v>
      </c>
      <c r="W20" t="s">
        <v>129</v>
      </c>
      <c r="X20" t="s">
        <v>282</v>
      </c>
    </row>
    <row r="21" spans="1:24" x14ac:dyDescent="0.25">
      <c r="A21" t="s">
        <v>37</v>
      </c>
      <c r="B21" t="s">
        <v>13</v>
      </c>
      <c r="C21" s="3">
        <v>5</v>
      </c>
      <c r="D21" s="3">
        <v>67.5</v>
      </c>
      <c r="E21" s="3">
        <f>0.00033/H21</f>
        <v>1.1E-4</v>
      </c>
      <c r="F21" s="3">
        <f>0.018/H21</f>
        <v>5.9999999999999993E-3</v>
      </c>
      <c r="G21" s="8">
        <v>1</v>
      </c>
      <c r="H21">
        <v>3</v>
      </c>
      <c r="I21">
        <v>3</v>
      </c>
      <c r="J21" s="8">
        <v>1</v>
      </c>
      <c r="K21" s="2" t="s">
        <v>103</v>
      </c>
      <c r="L21" s="2" t="s">
        <v>103</v>
      </c>
      <c r="M21" s="3">
        <f>(1764.5-1028.2)*0.001/365.25</f>
        <v>2.0158795345653659E-3</v>
      </c>
      <c r="N21" s="3">
        <f>(1764.5-1028.2)*0.001/365.25</f>
        <v>2.0158795345653659E-3</v>
      </c>
      <c r="O21" s="3" t="s">
        <v>103</v>
      </c>
      <c r="P21" s="3" t="s">
        <v>103</v>
      </c>
      <c r="Q21" s="3">
        <v>5.3000000000000001E-5</v>
      </c>
      <c r="R21" s="3">
        <v>2.5999999999999999E-3</v>
      </c>
      <c r="S21" s="3" t="s">
        <v>191</v>
      </c>
      <c r="T21" s="3" t="s">
        <v>198</v>
      </c>
      <c r="U21" s="4" t="s">
        <v>95</v>
      </c>
      <c r="V21">
        <v>500</v>
      </c>
      <c r="W21" t="s">
        <v>130</v>
      </c>
      <c r="X21" t="s">
        <v>281</v>
      </c>
    </row>
    <row r="22" spans="1:24" x14ac:dyDescent="0.25">
      <c r="A22" t="s">
        <v>37</v>
      </c>
      <c r="B22" t="s">
        <v>13</v>
      </c>
      <c r="C22" s="3">
        <v>0.51839999999999997</v>
      </c>
      <c r="D22" s="3">
        <f>0.0006*86400</f>
        <v>51.839999999999996</v>
      </c>
      <c r="E22" s="3">
        <f>0.00000000006*86400</f>
        <v>5.1839999999999998E-6</v>
      </c>
      <c r="F22" s="3">
        <f>0.000001*86400</f>
        <v>8.6399999999999991E-2</v>
      </c>
      <c r="G22" s="8">
        <v>1</v>
      </c>
      <c r="H22">
        <v>3</v>
      </c>
      <c r="I22">
        <v>3</v>
      </c>
      <c r="J22" s="8">
        <v>1</v>
      </c>
      <c r="K22" s="2">
        <v>0.25</v>
      </c>
      <c r="L22" s="2">
        <v>0.25</v>
      </c>
      <c r="M22" s="3">
        <v>2.0000000000000001E-4</v>
      </c>
      <c r="N22" s="3">
        <v>1.5E-3</v>
      </c>
      <c r="O22" s="3" t="s">
        <v>103</v>
      </c>
      <c r="P22" s="3" t="s">
        <v>103</v>
      </c>
      <c r="Q22" s="3" t="s">
        <v>103</v>
      </c>
      <c r="R22" s="3" t="s">
        <v>103</v>
      </c>
      <c r="S22" s="3" t="s">
        <v>190</v>
      </c>
      <c r="T22" s="3" t="s">
        <v>193</v>
      </c>
      <c r="U22" s="4" t="s">
        <v>95</v>
      </c>
      <c r="V22" s="4">
        <v>500</v>
      </c>
      <c r="W22" t="s">
        <v>131</v>
      </c>
      <c r="X22" t="s">
        <v>187</v>
      </c>
    </row>
    <row r="23" spans="1:24" x14ac:dyDescent="0.25">
      <c r="A23" t="s">
        <v>12</v>
      </c>
      <c r="B23" t="s">
        <v>13</v>
      </c>
      <c r="C23" s="3">
        <f>0.000057*86400</f>
        <v>4.9248000000000003</v>
      </c>
      <c r="D23" s="3">
        <f>0.00034*86400</f>
        <v>29.376000000000001</v>
      </c>
      <c r="E23" s="3">
        <f>0.00000000001*86400</f>
        <v>8.639999999999999E-7</v>
      </c>
      <c r="F23" s="3">
        <f>0.0000001*86400</f>
        <v>8.6400000000000001E-3</v>
      </c>
      <c r="G23" s="8">
        <v>1</v>
      </c>
      <c r="H23">
        <v>10</v>
      </c>
      <c r="I23">
        <v>10</v>
      </c>
      <c r="J23" s="8">
        <v>1</v>
      </c>
      <c r="K23" s="2">
        <v>0.06</v>
      </c>
      <c r="L23" s="2">
        <v>0.25</v>
      </c>
      <c r="M23" s="3" t="s">
        <v>103</v>
      </c>
      <c r="N23" s="3" t="s">
        <v>103</v>
      </c>
      <c r="O23" s="3" t="s">
        <v>103</v>
      </c>
      <c r="P23" s="3" t="s">
        <v>103</v>
      </c>
      <c r="Q23" s="3" t="s">
        <v>103</v>
      </c>
      <c r="R23" s="3" t="s">
        <v>103</v>
      </c>
      <c r="S23" s="3" t="s">
        <v>195</v>
      </c>
      <c r="T23" s="3" t="s">
        <v>192</v>
      </c>
      <c r="U23" s="4" t="s">
        <v>95</v>
      </c>
      <c r="V23" s="4">
        <v>120</v>
      </c>
      <c r="W23" s="4" t="s">
        <v>87</v>
      </c>
      <c r="X23" s="4" t="s">
        <v>275</v>
      </c>
    </row>
    <row r="24" spans="1:24" x14ac:dyDescent="0.25">
      <c r="A24" t="s">
        <v>7</v>
      </c>
      <c r="B24" t="s">
        <v>134</v>
      </c>
      <c r="C24" s="3">
        <v>0.1</v>
      </c>
      <c r="D24" s="3">
        <v>40</v>
      </c>
      <c r="E24" s="3">
        <v>1E-3</v>
      </c>
      <c r="F24" s="3">
        <v>0.05</v>
      </c>
      <c r="G24" s="8">
        <v>1</v>
      </c>
      <c r="H24" t="s">
        <v>103</v>
      </c>
      <c r="I24" t="s">
        <v>103</v>
      </c>
      <c r="J24" s="8">
        <v>1</v>
      </c>
      <c r="K24" s="2">
        <v>0.3</v>
      </c>
      <c r="L24" s="2">
        <v>0.3</v>
      </c>
      <c r="M24" s="3" t="s">
        <v>103</v>
      </c>
      <c r="N24" s="3" t="s">
        <v>103</v>
      </c>
      <c r="O24" s="3" t="s">
        <v>103</v>
      </c>
      <c r="P24" s="3" t="s">
        <v>103</v>
      </c>
      <c r="Q24" s="3" t="s">
        <v>103</v>
      </c>
      <c r="R24" s="3" t="s">
        <v>103</v>
      </c>
      <c r="S24" s="3" t="s">
        <v>194</v>
      </c>
      <c r="T24" s="3" t="s">
        <v>200</v>
      </c>
      <c r="U24" s="4" t="s">
        <v>95</v>
      </c>
      <c r="V24" s="4">
        <v>300</v>
      </c>
      <c r="W24" s="4" t="s">
        <v>135</v>
      </c>
    </row>
    <row r="25" spans="1:24" x14ac:dyDescent="0.25">
      <c r="A25" t="s">
        <v>136</v>
      </c>
      <c r="B25" t="s">
        <v>49</v>
      </c>
      <c r="C25" s="3">
        <v>75</v>
      </c>
      <c r="D25" s="3">
        <v>75</v>
      </c>
      <c r="E25" s="3">
        <f>0.0001/H25</f>
        <v>1.0000000000000001E-5</v>
      </c>
      <c r="F25" s="3">
        <f>0.2/I25</f>
        <v>2E-3</v>
      </c>
      <c r="G25" s="8">
        <v>1</v>
      </c>
      <c r="H25">
        <v>10</v>
      </c>
      <c r="I25">
        <v>100</v>
      </c>
      <c r="J25" s="8">
        <v>1</v>
      </c>
      <c r="K25" s="2">
        <v>0.25</v>
      </c>
      <c r="L25" s="2">
        <v>0.25</v>
      </c>
      <c r="M25" s="3">
        <v>0</v>
      </c>
      <c r="N25" s="3">
        <v>5.5000000000000003E-4</v>
      </c>
      <c r="O25">
        <v>100</v>
      </c>
      <c r="P25">
        <v>100</v>
      </c>
      <c r="Q25" s="3" t="s">
        <v>103</v>
      </c>
      <c r="R25" s="3" t="s">
        <v>103</v>
      </c>
      <c r="S25" t="s">
        <v>190</v>
      </c>
      <c r="T25" t="s">
        <v>193</v>
      </c>
      <c r="U25" s="4" t="s">
        <v>95</v>
      </c>
      <c r="V25" s="4">
        <v>1000</v>
      </c>
      <c r="W25" s="4" t="s">
        <v>137</v>
      </c>
      <c r="X25" t="s">
        <v>140</v>
      </c>
    </row>
    <row r="26" spans="1:24" x14ac:dyDescent="0.25">
      <c r="A26" t="s">
        <v>27</v>
      </c>
      <c r="B26" t="s">
        <v>28</v>
      </c>
      <c r="C26" s="3">
        <f>1.35/5</f>
        <v>0.27</v>
      </c>
      <c r="D26" s="3">
        <f>31077/30</f>
        <v>1035.9000000000001</v>
      </c>
      <c r="E26" s="3">
        <v>2.4999999999999999E-8</v>
      </c>
      <c r="F26" s="3">
        <v>1.0999999999999999E-2</v>
      </c>
      <c r="G26" s="8">
        <v>1</v>
      </c>
      <c r="H26" t="s">
        <v>103</v>
      </c>
      <c r="I26" t="s">
        <v>103</v>
      </c>
      <c r="J26" s="8">
        <v>1</v>
      </c>
      <c r="K26" s="2">
        <v>0.2</v>
      </c>
      <c r="L26" s="2">
        <v>0.2</v>
      </c>
      <c r="M26" s="3">
        <v>4.4000000000000002E-4</v>
      </c>
      <c r="N26" s="3">
        <v>2E-3</v>
      </c>
      <c r="O26" s="3" t="s">
        <v>103</v>
      </c>
      <c r="P26" s="3" t="s">
        <v>103</v>
      </c>
      <c r="Q26" s="3">
        <f>0.002/30</f>
        <v>6.666666666666667E-5</v>
      </c>
      <c r="R26" s="3">
        <f>0.001/5</f>
        <v>2.0000000000000001E-4</v>
      </c>
      <c r="S26" s="3" t="s">
        <v>191</v>
      </c>
      <c r="T26" s="3" t="s">
        <v>199</v>
      </c>
      <c r="U26" s="4" t="s">
        <v>95</v>
      </c>
      <c r="V26" s="4">
        <v>80</v>
      </c>
      <c r="W26" s="4" t="s">
        <v>138</v>
      </c>
      <c r="X26" s="4" t="s">
        <v>186</v>
      </c>
    </row>
    <row r="27" spans="1:24" x14ac:dyDescent="0.25">
      <c r="A27" t="s">
        <v>25</v>
      </c>
      <c r="B27" t="s">
        <v>26</v>
      </c>
      <c r="C27" s="3">
        <f>0.0004*86400</f>
        <v>34.56</v>
      </c>
      <c r="D27" s="3">
        <f>0.0004*86400</f>
        <v>34.56</v>
      </c>
      <c r="E27" s="3">
        <f>0.0000000001*86400</f>
        <v>8.6400000000000003E-6</v>
      </c>
      <c r="F27" s="3">
        <f>0.0000001*86400</f>
        <v>8.6400000000000001E-3</v>
      </c>
      <c r="G27" s="8">
        <v>1</v>
      </c>
      <c r="H27" t="s">
        <v>103</v>
      </c>
      <c r="I27" t="s">
        <v>103</v>
      </c>
      <c r="J27" s="8">
        <v>1</v>
      </c>
      <c r="K27" s="2">
        <v>0.3</v>
      </c>
      <c r="L27" s="2">
        <v>0.4</v>
      </c>
      <c r="M27" s="3" t="s">
        <v>103</v>
      </c>
      <c r="N27" s="3" t="s">
        <v>103</v>
      </c>
      <c r="O27" s="3" t="s">
        <v>103</v>
      </c>
      <c r="P27" s="3" t="s">
        <v>103</v>
      </c>
      <c r="Q27" s="3">
        <v>1E-4</v>
      </c>
      <c r="R27" s="3">
        <v>1E-4</v>
      </c>
      <c r="S27" s="3" t="s">
        <v>196</v>
      </c>
      <c r="T27" s="3" t="s">
        <v>198</v>
      </c>
      <c r="U27" s="4" t="s">
        <v>95</v>
      </c>
      <c r="V27" s="4">
        <v>80</v>
      </c>
      <c r="W27" s="4" t="s">
        <v>139</v>
      </c>
      <c r="X27" t="s">
        <v>204</v>
      </c>
    </row>
    <row r="28" spans="1:24" x14ac:dyDescent="0.25">
      <c r="A28" t="s">
        <v>25</v>
      </c>
      <c r="B28" t="s">
        <v>26</v>
      </c>
      <c r="C28" s="3">
        <f>0.0001*86400*0.01</f>
        <v>8.6400000000000005E-2</v>
      </c>
      <c r="D28" s="3">
        <f>0.05*86400*0.01</f>
        <v>43.2</v>
      </c>
      <c r="E28" s="3">
        <f>0.0000001*86400*0.01</f>
        <v>8.6399999999999999E-5</v>
      </c>
      <c r="F28" s="3">
        <f>0.000005*86400*0.01</f>
        <v>4.3200000000000009E-3</v>
      </c>
      <c r="G28" s="8">
        <v>1</v>
      </c>
      <c r="H28" t="s">
        <v>103</v>
      </c>
      <c r="I28" t="s">
        <v>103</v>
      </c>
      <c r="J28" s="8">
        <v>1</v>
      </c>
      <c r="K28" s="2" t="s">
        <v>103</v>
      </c>
      <c r="L28" s="2" t="s">
        <v>103</v>
      </c>
      <c r="M28" s="3">
        <f>0.12/365.25</f>
        <v>3.2854209445585213E-4</v>
      </c>
      <c r="N28" s="3">
        <f>0.25/365.25</f>
        <v>6.8446269678302531E-4</v>
      </c>
      <c r="O28" s="3" t="s">
        <v>103</v>
      </c>
      <c r="P28" s="3" t="s">
        <v>103</v>
      </c>
      <c r="Q28" s="3" t="s">
        <v>103</v>
      </c>
      <c r="R28" s="3" t="s">
        <v>103</v>
      </c>
      <c r="S28" s="3" t="s">
        <v>195</v>
      </c>
      <c r="T28" s="3" t="s">
        <v>193</v>
      </c>
      <c r="U28" s="4" t="s">
        <v>95</v>
      </c>
      <c r="V28" s="4">
        <v>300</v>
      </c>
      <c r="W28" s="4" t="s">
        <v>141</v>
      </c>
      <c r="X28" t="s">
        <v>203</v>
      </c>
    </row>
    <row r="29" spans="1:24" x14ac:dyDescent="0.25">
      <c r="A29" t="s">
        <v>142</v>
      </c>
      <c r="B29" t="s">
        <v>28</v>
      </c>
      <c r="C29" s="3">
        <v>3</v>
      </c>
      <c r="D29" s="3">
        <v>245</v>
      </c>
      <c r="E29" s="3">
        <f>1/H29</f>
        <v>0.33333333333333331</v>
      </c>
      <c r="F29" s="3">
        <f>1/H29</f>
        <v>0.33333333333333331</v>
      </c>
      <c r="G29" s="8">
        <v>1</v>
      </c>
      <c r="H29" s="2">
        <v>3</v>
      </c>
      <c r="I29">
        <v>10</v>
      </c>
      <c r="J29" s="8">
        <v>1</v>
      </c>
      <c r="K29" s="2" t="s">
        <v>103</v>
      </c>
      <c r="L29" s="2" t="s">
        <v>103</v>
      </c>
      <c r="M29" s="3">
        <v>0</v>
      </c>
      <c r="N29" s="3">
        <f>717.3*0.001/365.25</f>
        <v>1.9638603696098562E-3</v>
      </c>
      <c r="O29" s="3" t="s">
        <v>103</v>
      </c>
      <c r="P29" s="3" t="s">
        <v>103</v>
      </c>
      <c r="Q29" s="3">
        <v>1E-4</v>
      </c>
      <c r="R29" s="3">
        <v>0.01</v>
      </c>
      <c r="S29" s="3" t="s">
        <v>191</v>
      </c>
      <c r="T29" s="3" t="s">
        <v>200</v>
      </c>
      <c r="U29" s="4" t="s">
        <v>94</v>
      </c>
      <c r="V29" s="4">
        <v>70</v>
      </c>
      <c r="W29" s="4" t="s">
        <v>143</v>
      </c>
      <c r="X29" t="s">
        <v>276</v>
      </c>
    </row>
    <row r="30" spans="1:24" x14ac:dyDescent="0.25">
      <c r="A30" t="s">
        <v>150</v>
      </c>
      <c r="B30" t="s">
        <v>151</v>
      </c>
      <c r="C30" s="3">
        <v>2</v>
      </c>
      <c r="D30" s="3">
        <v>18</v>
      </c>
      <c r="E30" s="3" t="s">
        <v>103</v>
      </c>
      <c r="F30" s="3" t="s">
        <v>103</v>
      </c>
      <c r="G30" s="8" t="s">
        <v>103</v>
      </c>
      <c r="H30" s="3" t="s">
        <v>103</v>
      </c>
      <c r="I30" s="3" t="s">
        <v>103</v>
      </c>
      <c r="J30" s="8">
        <v>1</v>
      </c>
      <c r="K30" s="2" t="s">
        <v>103</v>
      </c>
      <c r="L30" s="2" t="s">
        <v>103</v>
      </c>
      <c r="M30" s="3">
        <f>0.069/365.25</f>
        <v>1.88911704312115E-4</v>
      </c>
      <c r="N30" s="3">
        <f>0.34/365.25</f>
        <v>9.3086926762491449E-4</v>
      </c>
      <c r="O30" s="3" t="s">
        <v>103</v>
      </c>
      <c r="P30" s="3" t="s">
        <v>103</v>
      </c>
      <c r="Q30" s="3" t="s">
        <v>103</v>
      </c>
      <c r="R30" s="3" t="s">
        <v>103</v>
      </c>
      <c r="S30" s="3" t="s">
        <v>191</v>
      </c>
      <c r="T30" s="3" t="s">
        <v>199</v>
      </c>
      <c r="U30" s="3" t="s">
        <v>94</v>
      </c>
      <c r="V30" s="3" t="s">
        <v>103</v>
      </c>
      <c r="W30" s="3" t="s">
        <v>153</v>
      </c>
      <c r="X30" s="3" t="s">
        <v>154</v>
      </c>
    </row>
    <row r="31" spans="1:24" x14ac:dyDescent="0.25">
      <c r="A31" t="s">
        <v>34</v>
      </c>
      <c r="B31" t="s">
        <v>35</v>
      </c>
      <c r="C31" s="3">
        <f>1*24</f>
        <v>24</v>
      </c>
      <c r="D31" s="3">
        <f>7*24</f>
        <v>168</v>
      </c>
      <c r="E31" s="3" t="s">
        <v>103</v>
      </c>
      <c r="F31" s="3" t="s">
        <v>103</v>
      </c>
      <c r="G31" s="8" t="s">
        <v>103</v>
      </c>
      <c r="H31" s="3" t="s">
        <v>103</v>
      </c>
      <c r="I31" s="3" t="s">
        <v>103</v>
      </c>
      <c r="J31" s="8">
        <v>1</v>
      </c>
      <c r="K31" s="3" t="s">
        <v>103</v>
      </c>
      <c r="L31" s="3" t="s">
        <v>103</v>
      </c>
      <c r="M31" s="3">
        <f>(885.069+12.313)*24/(90000000)</f>
        <v>2.3930186666666663E-4</v>
      </c>
      <c r="N31" s="3">
        <f>(885.069+12.313)*24/(90000000)</f>
        <v>2.3930186666666663E-4</v>
      </c>
      <c r="O31" s="3" t="s">
        <v>103</v>
      </c>
      <c r="P31" s="3" t="s">
        <v>103</v>
      </c>
      <c r="Q31" s="3" t="s">
        <v>103</v>
      </c>
      <c r="R31" s="3" t="s">
        <v>103</v>
      </c>
      <c r="S31" s="3" t="s">
        <v>195</v>
      </c>
      <c r="T31" s="3" t="s">
        <v>195</v>
      </c>
      <c r="U31" s="3" t="s">
        <v>94</v>
      </c>
      <c r="V31" s="4">
        <v>100</v>
      </c>
      <c r="W31" s="3" t="s">
        <v>156</v>
      </c>
      <c r="X31" s="3" t="s">
        <v>157</v>
      </c>
    </row>
    <row r="32" spans="1:24" x14ac:dyDescent="0.25">
      <c r="A32" t="s">
        <v>34</v>
      </c>
      <c r="B32" t="s">
        <v>35</v>
      </c>
      <c r="C32" s="3">
        <v>5.8</v>
      </c>
      <c r="D32" s="3">
        <v>26.9</v>
      </c>
      <c r="E32" s="3">
        <v>1.6000000000000001E-3</v>
      </c>
      <c r="F32" s="3">
        <v>8.6E-3</v>
      </c>
      <c r="G32" s="8">
        <v>1</v>
      </c>
      <c r="H32" s="3" t="s">
        <v>103</v>
      </c>
      <c r="I32" s="3" t="s">
        <v>103</v>
      </c>
      <c r="J32" s="8">
        <v>1</v>
      </c>
      <c r="K32" s="2" t="s">
        <v>103</v>
      </c>
      <c r="L32" s="2" t="s">
        <v>103</v>
      </c>
      <c r="M32" s="3">
        <f>136*0.001/365.25</f>
        <v>3.7234770704996581E-4</v>
      </c>
      <c r="N32" s="3">
        <f>136*0.001/365.25</f>
        <v>3.7234770704996581E-4</v>
      </c>
      <c r="O32">
        <f>1/2.4</f>
        <v>0.41666666666666669</v>
      </c>
      <c r="P32">
        <f>1/0.02</f>
        <v>50</v>
      </c>
      <c r="Q32" s="3" t="s">
        <v>103</v>
      </c>
      <c r="R32" s="3" t="s">
        <v>103</v>
      </c>
      <c r="S32" s="3" t="s">
        <v>191</v>
      </c>
      <c r="T32" s="3" t="s">
        <v>198</v>
      </c>
      <c r="U32" s="4" t="s">
        <v>94</v>
      </c>
      <c r="V32" s="4">
        <v>100</v>
      </c>
      <c r="W32" s="4" t="s">
        <v>158</v>
      </c>
      <c r="X32" t="s">
        <v>160</v>
      </c>
    </row>
    <row r="33" spans="1:24" x14ac:dyDescent="0.25">
      <c r="A33" t="s">
        <v>163</v>
      </c>
      <c r="B33" t="s">
        <v>164</v>
      </c>
      <c r="C33" s="3">
        <f>144/100</f>
        <v>1.44</v>
      </c>
      <c r="D33" s="3">
        <f>5000/30</f>
        <v>166.66666666666666</v>
      </c>
      <c r="E33" s="3" t="s">
        <v>103</v>
      </c>
      <c r="F33" s="3" t="s">
        <v>103</v>
      </c>
      <c r="G33" s="8" t="s">
        <v>103</v>
      </c>
      <c r="H33" s="3" t="s">
        <v>103</v>
      </c>
      <c r="I33" s="3" t="s">
        <v>103</v>
      </c>
      <c r="J33" s="8">
        <v>1</v>
      </c>
      <c r="K33" s="2" t="s">
        <v>103</v>
      </c>
      <c r="L33" s="2" t="s">
        <v>103</v>
      </c>
      <c r="M33" s="3">
        <f>2290*0.001*0.05/365.25</f>
        <v>3.1348391512662561E-4</v>
      </c>
      <c r="N33" s="3">
        <f>2420*0.001*0.15/365.25</f>
        <v>9.9383983572895267E-4</v>
      </c>
      <c r="O33" s="3" t="s">
        <v>103</v>
      </c>
      <c r="P33" s="3" t="s">
        <v>103</v>
      </c>
      <c r="Q33" s="3" t="s">
        <v>103</v>
      </c>
      <c r="R33" s="3" t="s">
        <v>103</v>
      </c>
      <c r="S33" s="3" t="s">
        <v>195</v>
      </c>
      <c r="T33" s="3" t="s">
        <v>198</v>
      </c>
      <c r="U33" s="3" t="s">
        <v>95</v>
      </c>
      <c r="V33" s="4">
        <v>3000</v>
      </c>
      <c r="W33" s="3" t="s">
        <v>165</v>
      </c>
      <c r="X33" s="3" t="s">
        <v>283</v>
      </c>
    </row>
    <row r="34" spans="1:24" x14ac:dyDescent="0.25">
      <c r="A34" t="s">
        <v>169</v>
      </c>
      <c r="B34" t="s">
        <v>170</v>
      </c>
      <c r="C34" s="3">
        <f>13.8/70</f>
        <v>0.19714285714285715</v>
      </c>
      <c r="D34" s="3">
        <f>100/30</f>
        <v>3.3333333333333335</v>
      </c>
      <c r="E34" s="3">
        <f>0.01/I34</f>
        <v>1.1111111111111111E-3</v>
      </c>
      <c r="F34" s="3">
        <f>2.38/H34</f>
        <v>0.47599999999999998</v>
      </c>
      <c r="G34" s="8">
        <v>1</v>
      </c>
      <c r="H34">
        <v>5</v>
      </c>
      <c r="I34">
        <v>9</v>
      </c>
      <c r="J34" s="8">
        <v>1</v>
      </c>
      <c r="K34" s="2" t="s">
        <v>103</v>
      </c>
      <c r="L34" s="2" t="s">
        <v>103</v>
      </c>
      <c r="M34" s="3" t="s">
        <v>103</v>
      </c>
      <c r="N34" s="3" t="s">
        <v>103</v>
      </c>
      <c r="O34" t="s">
        <v>103</v>
      </c>
      <c r="P34" t="s">
        <v>103</v>
      </c>
      <c r="Q34" s="3" t="s">
        <v>103</v>
      </c>
      <c r="R34" s="3" t="s">
        <v>103</v>
      </c>
      <c r="S34" s="3" t="s">
        <v>197</v>
      </c>
      <c r="T34" s="3" t="s">
        <v>199</v>
      </c>
      <c r="U34" s="4" t="s">
        <v>95</v>
      </c>
      <c r="V34" s="4">
        <v>700</v>
      </c>
      <c r="W34" s="4" t="s">
        <v>171</v>
      </c>
      <c r="X34" t="s">
        <v>176</v>
      </c>
    </row>
    <row r="35" spans="1:24" ht="30" x14ac:dyDescent="0.25">
      <c r="A35" t="s">
        <v>169</v>
      </c>
      <c r="B35" t="s">
        <v>170</v>
      </c>
      <c r="C35" s="3">
        <f>0.000115*86400/100</f>
        <v>9.9360000000000004E-2</v>
      </c>
      <c r="D35" s="3">
        <f>0.0173*86400/500</f>
        <v>2.9894400000000001</v>
      </c>
      <c r="E35" s="3" t="s">
        <v>103</v>
      </c>
      <c r="F35" s="3" t="s">
        <v>103</v>
      </c>
      <c r="G35" s="8" t="s">
        <v>103</v>
      </c>
      <c r="H35" s="3" t="s">
        <v>103</v>
      </c>
      <c r="I35" s="3" t="s">
        <v>103</v>
      </c>
      <c r="J35" s="8">
        <v>1</v>
      </c>
      <c r="K35" s="3" t="s">
        <v>103</v>
      </c>
      <c r="L35" s="3" t="s">
        <v>103</v>
      </c>
      <c r="M35" s="3">
        <v>0</v>
      </c>
      <c r="N35" s="3">
        <f>6.7*0.001/365.25</f>
        <v>1.8343600273785079E-5</v>
      </c>
      <c r="O35" s="3" t="s">
        <v>103</v>
      </c>
      <c r="P35" s="3" t="s">
        <v>103</v>
      </c>
      <c r="Q35" s="3" t="s">
        <v>103</v>
      </c>
      <c r="R35" s="3" t="s">
        <v>103</v>
      </c>
      <c r="S35" s="3" t="s">
        <v>197</v>
      </c>
      <c r="T35" s="3" t="s">
        <v>199</v>
      </c>
      <c r="U35" s="3" t="s">
        <v>95</v>
      </c>
      <c r="V35" s="4">
        <v>700</v>
      </c>
      <c r="W35" s="7" t="s">
        <v>172</v>
      </c>
      <c r="X35" s="3" t="s">
        <v>206</v>
      </c>
    </row>
    <row r="36" spans="1:24" x14ac:dyDescent="0.25">
      <c r="A36" t="s">
        <v>173</v>
      </c>
      <c r="B36" t="s">
        <v>174</v>
      </c>
      <c r="C36" s="3">
        <v>10</v>
      </c>
      <c r="D36" s="3">
        <v>60</v>
      </c>
      <c r="E36" s="3" t="s">
        <v>103</v>
      </c>
      <c r="F36" s="3" t="s">
        <v>103</v>
      </c>
      <c r="G36" s="8" t="s">
        <v>103</v>
      </c>
      <c r="H36">
        <v>200</v>
      </c>
      <c r="I36">
        <v>500</v>
      </c>
      <c r="J36" s="8">
        <v>0</v>
      </c>
      <c r="K36" s="2" t="s">
        <v>103</v>
      </c>
      <c r="L36" s="2" t="s">
        <v>103</v>
      </c>
      <c r="M36" s="3">
        <v>0</v>
      </c>
      <c r="N36" s="3">
        <v>0</v>
      </c>
      <c r="O36" t="s">
        <v>103</v>
      </c>
      <c r="P36" t="s">
        <v>103</v>
      </c>
      <c r="Q36" s="3" t="s">
        <v>103</v>
      </c>
      <c r="R36" s="3" t="s">
        <v>103</v>
      </c>
      <c r="S36" s="3" t="s">
        <v>197</v>
      </c>
      <c r="T36" s="3" t="s">
        <v>195</v>
      </c>
      <c r="U36" s="4" t="s">
        <v>95</v>
      </c>
      <c r="V36" s="4">
        <v>200</v>
      </c>
      <c r="W36" t="s">
        <v>180</v>
      </c>
      <c r="X36" t="s">
        <v>178</v>
      </c>
    </row>
    <row r="37" spans="1:24" x14ac:dyDescent="0.25">
      <c r="A37" t="s">
        <v>14</v>
      </c>
      <c r="B37" t="s">
        <v>15</v>
      </c>
      <c r="C37" s="3">
        <v>20</v>
      </c>
      <c r="D37" s="3">
        <v>50</v>
      </c>
      <c r="E37" s="3" t="s">
        <v>103</v>
      </c>
      <c r="F37" s="3" t="s">
        <v>103</v>
      </c>
      <c r="G37" s="8" t="s">
        <v>103</v>
      </c>
      <c r="H37">
        <v>10000</v>
      </c>
      <c r="I37">
        <v>20000</v>
      </c>
      <c r="J37" s="8">
        <v>0</v>
      </c>
      <c r="K37" s="2" t="s">
        <v>103</v>
      </c>
      <c r="L37" s="2" t="s">
        <v>103</v>
      </c>
      <c r="M37" s="3">
        <f>0.1*1000*0.001/365.25</f>
        <v>2.7378507871321013E-4</v>
      </c>
      <c r="N37" s="3">
        <f>0.2*2500*0.001/365.25</f>
        <v>1.3689253935660506E-3</v>
      </c>
      <c r="O37" s="3" t="s">
        <v>103</v>
      </c>
      <c r="P37" s="3" t="s">
        <v>103</v>
      </c>
      <c r="Q37" s="3" t="s">
        <v>103</v>
      </c>
      <c r="R37" s="3" t="s">
        <v>103</v>
      </c>
      <c r="S37" s="3" t="s">
        <v>197</v>
      </c>
      <c r="T37" s="3" t="s">
        <v>195</v>
      </c>
      <c r="U37" s="3" t="s">
        <v>95</v>
      </c>
      <c r="V37" s="4">
        <v>200</v>
      </c>
      <c r="W37" t="s">
        <v>180</v>
      </c>
      <c r="X37" s="3" t="s">
        <v>179</v>
      </c>
    </row>
    <row r="38" spans="1:24" x14ac:dyDescent="0.25">
      <c r="A38" t="s">
        <v>32</v>
      </c>
      <c r="B38" t="s">
        <v>33</v>
      </c>
      <c r="C38" s="3">
        <v>8.3000000000000007</v>
      </c>
      <c r="D38" s="3">
        <v>85</v>
      </c>
      <c r="E38" s="3">
        <v>3.0000000000000001E-3</v>
      </c>
      <c r="F38" s="3">
        <v>8.0000000000000002E-3</v>
      </c>
      <c r="G38" s="8">
        <v>1</v>
      </c>
      <c r="H38" s="3">
        <v>10</v>
      </c>
      <c r="I38" s="3">
        <v>10</v>
      </c>
      <c r="J38" s="8">
        <v>1</v>
      </c>
      <c r="K38" s="2" t="s">
        <v>103</v>
      </c>
      <c r="L38" s="2" t="s">
        <v>103</v>
      </c>
      <c r="M38" s="3">
        <f>231.7*0.001/365.25</f>
        <v>6.3436002737850782E-4</v>
      </c>
      <c r="N38" s="3">
        <f>333.7*0.001/365.25</f>
        <v>9.1362080766598224E-4</v>
      </c>
      <c r="O38" t="s">
        <v>103</v>
      </c>
      <c r="P38" t="s">
        <v>103</v>
      </c>
      <c r="Q38" s="3">
        <v>6.7700000000000004E-6</v>
      </c>
      <c r="R38" s="3">
        <v>7.76E-4</v>
      </c>
      <c r="S38" s="3" t="s">
        <v>191</v>
      </c>
      <c r="T38" s="3" t="s">
        <v>199</v>
      </c>
      <c r="U38" s="4" t="s">
        <v>95</v>
      </c>
      <c r="V38" s="4" t="s">
        <v>103</v>
      </c>
      <c r="W38" t="s">
        <v>185</v>
      </c>
      <c r="X38" t="s">
        <v>184</v>
      </c>
    </row>
    <row r="40" spans="1:24" x14ac:dyDescent="0.25">
      <c r="P40" s="3"/>
      <c r="Q40" s="3"/>
      <c r="R40" s="3"/>
    </row>
    <row r="41" spans="1:24" x14ac:dyDescent="0.25">
      <c r="P41" s="3"/>
      <c r="Q41" s="3"/>
      <c r="R41" s="3"/>
    </row>
    <row r="42" spans="1:24" x14ac:dyDescent="0.25">
      <c r="P42" s="3"/>
      <c r="Q42" s="3"/>
      <c r="R42" s="3"/>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64F2B-EBB5-4AC0-A4A0-A713F56F3A01}">
  <dimension ref="A1:A76"/>
  <sheetViews>
    <sheetView tabSelected="1" zoomScale="115" zoomScaleNormal="115" workbookViewId="0">
      <selection activeCell="A3" sqref="A3"/>
    </sheetView>
  </sheetViews>
  <sheetFormatPr defaultRowHeight="15" x14ac:dyDescent="0.25"/>
  <cols>
    <col min="1" max="1" width="255.7109375" bestFit="1" customWidth="1"/>
  </cols>
  <sheetData>
    <row r="1" spans="1:1" x14ac:dyDescent="0.25">
      <c r="A1" s="9"/>
    </row>
    <row r="2" spans="1:1" x14ac:dyDescent="0.25">
      <c r="A2" s="10" t="s">
        <v>286</v>
      </c>
    </row>
    <row r="3" spans="1:1" x14ac:dyDescent="0.25">
      <c r="A3" s="10" t="s">
        <v>287</v>
      </c>
    </row>
    <row r="4" spans="1:1" x14ac:dyDescent="0.25">
      <c r="A4" s="10" t="s">
        <v>288</v>
      </c>
    </row>
    <row r="5" spans="1:1" x14ac:dyDescent="0.25">
      <c r="A5" s="10" t="s">
        <v>289</v>
      </c>
    </row>
    <row r="6" spans="1:1" x14ac:dyDescent="0.25">
      <c r="A6" s="10" t="s">
        <v>290</v>
      </c>
    </row>
    <row r="7" spans="1:1" x14ac:dyDescent="0.25">
      <c r="A7" s="10" t="s">
        <v>291</v>
      </c>
    </row>
    <row r="8" spans="1:1" x14ac:dyDescent="0.25">
      <c r="A8" s="10" t="s">
        <v>292</v>
      </c>
    </row>
    <row r="9" spans="1:1" x14ac:dyDescent="0.25">
      <c r="A9" s="10" t="s">
        <v>293</v>
      </c>
    </row>
    <row r="10" spans="1:1" x14ac:dyDescent="0.25">
      <c r="A10" s="10" t="s">
        <v>294</v>
      </c>
    </row>
    <row r="11" spans="1:1" x14ac:dyDescent="0.25">
      <c r="A11" s="10" t="s">
        <v>295</v>
      </c>
    </row>
    <row r="12" spans="1:1" x14ac:dyDescent="0.25">
      <c r="A12" s="10" t="s">
        <v>296</v>
      </c>
    </row>
    <row r="13" spans="1:1" x14ac:dyDescent="0.25">
      <c r="A13" s="10" t="s">
        <v>297</v>
      </c>
    </row>
    <row r="14" spans="1:1" x14ac:dyDescent="0.25">
      <c r="A14" s="10" t="s">
        <v>298</v>
      </c>
    </row>
    <row r="15" spans="1:1" x14ac:dyDescent="0.25">
      <c r="A15" s="10" t="s">
        <v>299</v>
      </c>
    </row>
    <row r="16" spans="1:1" x14ac:dyDescent="0.25">
      <c r="A16" s="10" t="s">
        <v>300</v>
      </c>
    </row>
    <row r="17" spans="1:1" x14ac:dyDescent="0.25">
      <c r="A17" s="10" t="s">
        <v>301</v>
      </c>
    </row>
    <row r="18" spans="1:1" x14ac:dyDescent="0.25">
      <c r="A18" s="10" t="s">
        <v>302</v>
      </c>
    </row>
    <row r="19" spans="1:1" x14ac:dyDescent="0.25">
      <c r="A19" s="10" t="s">
        <v>303</v>
      </c>
    </row>
    <row r="20" spans="1:1" x14ac:dyDescent="0.25">
      <c r="A20" s="10" t="s">
        <v>304</v>
      </c>
    </row>
    <row r="21" spans="1:1" x14ac:dyDescent="0.25">
      <c r="A21" s="10" t="s">
        <v>305</v>
      </c>
    </row>
    <row r="22" spans="1:1" x14ac:dyDescent="0.25">
      <c r="A22" s="10" t="s">
        <v>306</v>
      </c>
    </row>
    <row r="23" spans="1:1" x14ac:dyDescent="0.25">
      <c r="A23" s="10" t="s">
        <v>307</v>
      </c>
    </row>
    <row r="24" spans="1:1" x14ac:dyDescent="0.25">
      <c r="A24" s="10" t="s">
        <v>308</v>
      </c>
    </row>
    <row r="25" spans="1:1" x14ac:dyDescent="0.25">
      <c r="A25" s="10" t="s">
        <v>309</v>
      </c>
    </row>
    <row r="26" spans="1:1" x14ac:dyDescent="0.25">
      <c r="A26" s="10" t="s">
        <v>310</v>
      </c>
    </row>
    <row r="27" spans="1:1" x14ac:dyDescent="0.25">
      <c r="A27" s="10" t="s">
        <v>311</v>
      </c>
    </row>
    <row r="28" spans="1:1" x14ac:dyDescent="0.25">
      <c r="A28" s="10" t="s">
        <v>312</v>
      </c>
    </row>
    <row r="29" spans="1:1" x14ac:dyDescent="0.25">
      <c r="A29" s="10" t="s">
        <v>313</v>
      </c>
    </row>
    <row r="30" spans="1:1" x14ac:dyDescent="0.25">
      <c r="A30" s="10" t="s">
        <v>314</v>
      </c>
    </row>
    <row r="31" spans="1:1" x14ac:dyDescent="0.25">
      <c r="A31" s="10" t="s">
        <v>315</v>
      </c>
    </row>
    <row r="32" spans="1:1" x14ac:dyDescent="0.25">
      <c r="A32" s="10" t="s">
        <v>316</v>
      </c>
    </row>
    <row r="33" spans="1:1" x14ac:dyDescent="0.25">
      <c r="A33" s="10" t="s">
        <v>317</v>
      </c>
    </row>
    <row r="34" spans="1:1" x14ac:dyDescent="0.25">
      <c r="A34" s="10" t="s">
        <v>318</v>
      </c>
    </row>
    <row r="35" spans="1:1" x14ac:dyDescent="0.25">
      <c r="A35" s="10" t="s">
        <v>319</v>
      </c>
    </row>
    <row r="36" spans="1:1" x14ac:dyDescent="0.25">
      <c r="A36" s="10" t="s">
        <v>320</v>
      </c>
    </row>
    <row r="37" spans="1:1" x14ac:dyDescent="0.25">
      <c r="A37" s="10" t="s">
        <v>321</v>
      </c>
    </row>
    <row r="38" spans="1:1" x14ac:dyDescent="0.25">
      <c r="A38" s="10" t="s">
        <v>322</v>
      </c>
    </row>
    <row r="39" spans="1:1" x14ac:dyDescent="0.25">
      <c r="A39" s="10" t="s">
        <v>323</v>
      </c>
    </row>
    <row r="40" spans="1:1" x14ac:dyDescent="0.25">
      <c r="A40" s="10" t="s">
        <v>324</v>
      </c>
    </row>
    <row r="41" spans="1:1" x14ac:dyDescent="0.25">
      <c r="A41" s="10" t="s">
        <v>325</v>
      </c>
    </row>
    <row r="42" spans="1:1" x14ac:dyDescent="0.25">
      <c r="A42" s="10" t="s">
        <v>326</v>
      </c>
    </row>
    <row r="43" spans="1:1" x14ac:dyDescent="0.25">
      <c r="A43" s="10" t="s">
        <v>327</v>
      </c>
    </row>
    <row r="44" spans="1:1" x14ac:dyDescent="0.25">
      <c r="A44" s="10" t="s">
        <v>328</v>
      </c>
    </row>
    <row r="45" spans="1:1" x14ac:dyDescent="0.25">
      <c r="A45" s="10" t="s">
        <v>329</v>
      </c>
    </row>
    <row r="46" spans="1:1" x14ac:dyDescent="0.25">
      <c r="A46" s="10" t="s">
        <v>330</v>
      </c>
    </row>
    <row r="47" spans="1:1" x14ac:dyDescent="0.25">
      <c r="A47" s="10" t="s">
        <v>331</v>
      </c>
    </row>
    <row r="48" spans="1:1" x14ac:dyDescent="0.25">
      <c r="A48" s="10" t="s">
        <v>332</v>
      </c>
    </row>
    <row r="49" spans="1:1" x14ac:dyDescent="0.25">
      <c r="A49" s="10" t="s">
        <v>333</v>
      </c>
    </row>
    <row r="50" spans="1:1" x14ac:dyDescent="0.25">
      <c r="A50" s="10" t="s">
        <v>334</v>
      </c>
    </row>
    <row r="51" spans="1:1" x14ac:dyDescent="0.25">
      <c r="A51" s="10" t="s">
        <v>335</v>
      </c>
    </row>
    <row r="52" spans="1:1" x14ac:dyDescent="0.25">
      <c r="A52" s="10" t="s">
        <v>336</v>
      </c>
    </row>
    <row r="53" spans="1:1" x14ac:dyDescent="0.25">
      <c r="A53" s="10" t="s">
        <v>337</v>
      </c>
    </row>
    <row r="54" spans="1:1" x14ac:dyDescent="0.25">
      <c r="A54" s="10" t="s">
        <v>338</v>
      </c>
    </row>
    <row r="55" spans="1:1" x14ac:dyDescent="0.25">
      <c r="A55" s="10" t="s">
        <v>339</v>
      </c>
    </row>
    <row r="56" spans="1:1" x14ac:dyDescent="0.25">
      <c r="A56" s="10" t="s">
        <v>340</v>
      </c>
    </row>
    <row r="57" spans="1:1" x14ac:dyDescent="0.25">
      <c r="A57" s="10" t="s">
        <v>341</v>
      </c>
    </row>
    <row r="58" spans="1:1" x14ac:dyDescent="0.25">
      <c r="A58" s="10" t="s">
        <v>342</v>
      </c>
    </row>
    <row r="59" spans="1:1" x14ac:dyDescent="0.25">
      <c r="A59" s="10" t="s">
        <v>343</v>
      </c>
    </row>
    <row r="60" spans="1:1" x14ac:dyDescent="0.25">
      <c r="A60" s="10" t="s">
        <v>344</v>
      </c>
    </row>
    <row r="61" spans="1:1" x14ac:dyDescent="0.25">
      <c r="A61" s="10" t="s">
        <v>345</v>
      </c>
    </row>
    <row r="62" spans="1:1" x14ac:dyDescent="0.25">
      <c r="A62" s="10" t="s">
        <v>346</v>
      </c>
    </row>
    <row r="63" spans="1:1" x14ac:dyDescent="0.25">
      <c r="A63" s="10" t="s">
        <v>347</v>
      </c>
    </row>
    <row r="64" spans="1:1" x14ac:dyDescent="0.25">
      <c r="A64" s="10" t="s">
        <v>348</v>
      </c>
    </row>
    <row r="65" spans="1:1" x14ac:dyDescent="0.25">
      <c r="A65" s="10" t="s">
        <v>349</v>
      </c>
    </row>
    <row r="66" spans="1:1" x14ac:dyDescent="0.25">
      <c r="A66" s="10" t="s">
        <v>350</v>
      </c>
    </row>
    <row r="67" spans="1:1" x14ac:dyDescent="0.25">
      <c r="A67" s="10" t="s">
        <v>351</v>
      </c>
    </row>
    <row r="68" spans="1:1" x14ac:dyDescent="0.25">
      <c r="A68" s="10" t="s">
        <v>352</v>
      </c>
    </row>
    <row r="69" spans="1:1" x14ac:dyDescent="0.25">
      <c r="A69" s="10" t="s">
        <v>353</v>
      </c>
    </row>
    <row r="70" spans="1:1" x14ac:dyDescent="0.25">
      <c r="A70" s="10" t="s">
        <v>354</v>
      </c>
    </row>
    <row r="71" spans="1:1" x14ac:dyDescent="0.25">
      <c r="A71" s="10" t="s">
        <v>355</v>
      </c>
    </row>
    <row r="72" spans="1:1" x14ac:dyDescent="0.25">
      <c r="A72" s="10" t="s">
        <v>356</v>
      </c>
    </row>
    <row r="76" spans="1:1" x14ac:dyDescent="0.25">
      <c r="A76"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Geometry_Raw</vt:lpstr>
      <vt:lpstr>Lithology_Raw</vt:lpstr>
      <vt:lpstr>BC_Raw</vt:lpstr>
      <vt:lpstr>Hydrogeology_Raw</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Joeri van Engelen</dc:creator>
  <cp:lastModifiedBy>Joeri van Engelen</cp:lastModifiedBy>
  <dcterms:created xsi:type="dcterms:W3CDTF">2019-02-26T11:00:02Z</dcterms:created>
  <dcterms:modified xsi:type="dcterms:W3CDTF">2020-01-17T14:46:07Z</dcterms:modified>
</cp:coreProperties>
</file>