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engelen\OneDrive - Stichting Deltares\PhD\Synth_Delta\delta_aquifer\data\"/>
    </mc:Choice>
  </mc:AlternateContent>
  <xr:revisionPtr revIDLastSave="3187" documentId="10_ncr:100000_{2E746554-31FE-4657-A800-89661B694791}" xr6:coauthVersionLast="41" xr6:coauthVersionMax="41" xr10:uidLastSave="{85768456-15DB-45E0-97C1-643BF0803E85}"/>
  <bookViews>
    <workbookView xWindow="-120" yWindow="-120" windowWidth="27645" windowHeight="16440" activeTab="2" xr2:uid="{30BFF025-641A-48C0-8EBD-49846763B0B0}"/>
  </bookViews>
  <sheets>
    <sheet name="Geometry_Raw" sheetId="8" r:id="rId1"/>
    <sheet name="Lithology_Raw" sheetId="6" r:id="rId2"/>
    <sheet name="BC_Raw" sheetId="7" r:id="rId3"/>
    <sheet name="Hydrogeology_Raw" sheetId="5" r:id="rId4"/>
    <sheet name="Referenc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8" i="5" l="1"/>
  <c r="O48" i="5"/>
  <c r="P34" i="5"/>
  <c r="O34" i="5"/>
  <c r="H34" i="7" l="1"/>
  <c r="N42" i="5"/>
  <c r="M42" i="5"/>
  <c r="N41" i="5"/>
  <c r="M41" i="5"/>
  <c r="K34" i="8"/>
  <c r="F34" i="8"/>
  <c r="G34" i="8"/>
  <c r="H34" i="8"/>
  <c r="L34" i="8"/>
  <c r="L33" i="8"/>
  <c r="L32" i="8"/>
  <c r="L31" i="8"/>
  <c r="L26" i="8"/>
  <c r="L25" i="8"/>
  <c r="L24" i="8"/>
  <c r="L23" i="8"/>
  <c r="L22" i="8"/>
  <c r="L21" i="8"/>
  <c r="L18" i="8"/>
  <c r="L17" i="8"/>
  <c r="L16" i="8"/>
  <c r="L14" i="8"/>
  <c r="L13" i="8"/>
  <c r="L12" i="8"/>
  <c r="L11" i="8"/>
  <c r="L10" i="8"/>
  <c r="L19" i="8"/>
  <c r="L5" i="8"/>
  <c r="L3" i="8"/>
  <c r="L7" i="8"/>
  <c r="L8" i="8"/>
  <c r="L20" i="8"/>
  <c r="L4" i="8"/>
  <c r="L28" i="8"/>
  <c r="L29" i="8"/>
  <c r="L9" i="8"/>
  <c r="J34" i="8"/>
  <c r="J33" i="8"/>
  <c r="J26" i="8"/>
  <c r="J22" i="8"/>
  <c r="J21" i="8"/>
  <c r="J17" i="8"/>
  <c r="J15" i="8"/>
  <c r="J13" i="8"/>
  <c r="J6" i="8"/>
  <c r="J5" i="8"/>
  <c r="J3" i="8"/>
  <c r="M34" i="8" l="1"/>
  <c r="M29" i="8"/>
  <c r="M30" i="8"/>
  <c r="M31" i="8"/>
  <c r="M32" i="8"/>
  <c r="M33" i="8"/>
  <c r="M3" i="8"/>
  <c r="M4" i="8"/>
  <c r="M5" i="8"/>
  <c r="M6" i="8"/>
  <c r="M7" i="8"/>
  <c r="M8" i="8"/>
  <c r="M9" i="8"/>
  <c r="M10" i="8"/>
  <c r="M11" i="8"/>
  <c r="M12" i="8"/>
  <c r="M13" i="8"/>
  <c r="M14" i="8"/>
  <c r="M15" i="8"/>
  <c r="M16" i="8"/>
  <c r="M17" i="8"/>
  <c r="M18" i="8"/>
  <c r="M19" i="8"/>
  <c r="M20" i="8"/>
  <c r="M21" i="8"/>
  <c r="M22" i="8"/>
  <c r="M23" i="8"/>
  <c r="M24" i="8"/>
  <c r="M25" i="8"/>
  <c r="M26" i="8"/>
  <c r="M27" i="8"/>
  <c r="M28" i="8"/>
  <c r="P3" i="8"/>
  <c r="P7" i="8"/>
  <c r="P22" i="8"/>
  <c r="P29" i="8"/>
  <c r="P34" i="8"/>
  <c r="H33" i="7"/>
  <c r="H32" i="7"/>
  <c r="H24" i="7" l="1"/>
  <c r="H7" i="7"/>
  <c r="H8" i="7"/>
  <c r="H6" i="7"/>
  <c r="H5" i="7"/>
  <c r="C16" i="7" l="1"/>
  <c r="P31" i="8" l="1"/>
  <c r="R28" i="5" l="1"/>
  <c r="Q28" i="5"/>
  <c r="R19" i="5"/>
  <c r="Q19" i="5"/>
  <c r="R15" i="5"/>
  <c r="Q15" i="5"/>
  <c r="R4" i="5"/>
  <c r="Q4" i="5"/>
  <c r="E36" i="5" l="1"/>
  <c r="F36" i="5"/>
  <c r="F31" i="5"/>
  <c r="E31" i="5"/>
  <c r="F17" i="5"/>
  <c r="E17" i="5"/>
  <c r="F22" i="5"/>
  <c r="E22" i="5"/>
  <c r="E26" i="5"/>
  <c r="F26" i="5"/>
  <c r="P14" i="8" l="1"/>
  <c r="K29" i="8" l="1"/>
  <c r="K30" i="8"/>
  <c r="K31" i="8"/>
  <c r="K32" i="8"/>
  <c r="K33" i="8"/>
  <c r="K16" i="8"/>
  <c r="F16" i="8" l="1"/>
  <c r="G16" i="8" s="1"/>
  <c r="J16" i="8"/>
  <c r="K28" i="8"/>
  <c r="K17" i="8"/>
  <c r="K18" i="8"/>
  <c r="K19" i="8"/>
  <c r="K20" i="8"/>
  <c r="K21" i="8"/>
  <c r="K22" i="8"/>
  <c r="K23" i="8"/>
  <c r="K24" i="8"/>
  <c r="K25" i="8"/>
  <c r="K26" i="8"/>
  <c r="K27" i="8"/>
  <c r="K15" i="8"/>
  <c r="K14" i="8"/>
  <c r="K13" i="8"/>
  <c r="K4" i="8"/>
  <c r="K5" i="8"/>
  <c r="K6" i="8"/>
  <c r="K7" i="8"/>
  <c r="K8" i="8"/>
  <c r="K9" i="8"/>
  <c r="K10" i="8"/>
  <c r="K11" i="8"/>
  <c r="K12" i="8"/>
  <c r="K3" i="8"/>
  <c r="H16" i="8" l="1"/>
  <c r="H8" i="8"/>
  <c r="H24" i="8"/>
  <c r="H29" i="8"/>
  <c r="G7" i="8"/>
  <c r="G11" i="8"/>
  <c r="G21" i="8"/>
  <c r="G24" i="8"/>
  <c r="G29" i="8"/>
  <c r="G32" i="8"/>
  <c r="F4" i="8"/>
  <c r="G4" i="8" s="1"/>
  <c r="F5" i="8"/>
  <c r="H5" i="8" s="1"/>
  <c r="F6" i="8"/>
  <c r="H6" i="8" s="1"/>
  <c r="F7" i="8"/>
  <c r="H7" i="8" s="1"/>
  <c r="F8" i="8"/>
  <c r="G8" i="8" s="1"/>
  <c r="F9" i="8"/>
  <c r="H9" i="8" s="1"/>
  <c r="F10" i="8"/>
  <c r="H10" i="8" s="1"/>
  <c r="F11" i="8"/>
  <c r="H11" i="8" s="1"/>
  <c r="F12" i="8"/>
  <c r="G12" i="8" s="1"/>
  <c r="F13" i="8"/>
  <c r="H13" i="8" s="1"/>
  <c r="F14" i="8"/>
  <c r="H14" i="8" s="1"/>
  <c r="F15" i="8"/>
  <c r="H15" i="8" s="1"/>
  <c r="F17" i="8"/>
  <c r="G17" i="8" s="1"/>
  <c r="F18" i="8"/>
  <c r="G18" i="8" s="1"/>
  <c r="F19" i="8"/>
  <c r="H19" i="8" s="1"/>
  <c r="F20" i="8"/>
  <c r="H20" i="8" s="1"/>
  <c r="F21" i="8"/>
  <c r="H21" i="8" s="1"/>
  <c r="F22" i="8"/>
  <c r="G22" i="8" s="1"/>
  <c r="F23" i="8"/>
  <c r="H23" i="8" s="1"/>
  <c r="F24" i="8"/>
  <c r="F25" i="8"/>
  <c r="H25" i="8" s="1"/>
  <c r="F26" i="8"/>
  <c r="G26" i="8" s="1"/>
  <c r="F27" i="8"/>
  <c r="H27" i="8" s="1"/>
  <c r="F28" i="8"/>
  <c r="H28" i="8" s="1"/>
  <c r="F29" i="8"/>
  <c r="F30" i="8"/>
  <c r="G30" i="8" s="1"/>
  <c r="F31" i="8"/>
  <c r="H31" i="8" s="1"/>
  <c r="F32" i="8"/>
  <c r="H32" i="8" s="1"/>
  <c r="F33" i="8"/>
  <c r="H33" i="8" s="1"/>
  <c r="F3" i="8"/>
  <c r="G3" i="8" s="1"/>
  <c r="H18" i="8" l="1"/>
  <c r="G28" i="8"/>
  <c r="G20" i="8"/>
  <c r="H3" i="8"/>
  <c r="H22" i="8"/>
  <c r="H17" i="8"/>
  <c r="G33" i="8"/>
  <c r="G25" i="8"/>
  <c r="H26" i="8"/>
  <c r="H12" i="8"/>
  <c r="H4" i="8"/>
  <c r="H30" i="8"/>
  <c r="G14" i="8"/>
  <c r="G10" i="8"/>
  <c r="G6" i="8"/>
  <c r="G31" i="8"/>
  <c r="G27" i="8"/>
  <c r="G23" i="8"/>
  <c r="G19" i="8"/>
  <c r="G13" i="8"/>
  <c r="G9" i="8"/>
  <c r="G5" i="8"/>
  <c r="G15" i="8"/>
  <c r="P5" i="8"/>
  <c r="P6" i="8"/>
  <c r="P8" i="8"/>
  <c r="P9" i="8"/>
  <c r="P10" i="8"/>
  <c r="P11" i="8"/>
  <c r="P13" i="8"/>
  <c r="P15" i="8"/>
  <c r="P16" i="8"/>
  <c r="P17" i="8"/>
  <c r="P18" i="8"/>
  <c r="P20" i="8"/>
  <c r="P21" i="8"/>
  <c r="P23" i="8"/>
  <c r="P24" i="8"/>
  <c r="P25" i="8"/>
  <c r="P26" i="8"/>
  <c r="P27" i="8"/>
  <c r="P28" i="8"/>
  <c r="P4" i="8"/>
  <c r="N19" i="8"/>
  <c r="P19" i="8" s="1"/>
  <c r="H20" i="7"/>
  <c r="C33" i="7"/>
  <c r="C32" i="7"/>
  <c r="C12" i="7"/>
  <c r="N6" i="5" l="1"/>
  <c r="M6" i="5"/>
  <c r="N21" i="5" l="1"/>
  <c r="M21" i="5"/>
  <c r="C14" i="5" l="1"/>
  <c r="N37" i="5" l="1"/>
  <c r="F23" i="5" l="1"/>
  <c r="D28" i="5" l="1"/>
  <c r="C28" i="5" l="1"/>
  <c r="N40" i="5" l="1"/>
  <c r="M40" i="5"/>
  <c r="N39" i="5"/>
  <c r="M39" i="5"/>
  <c r="N22" i="5"/>
  <c r="M22" i="5"/>
  <c r="D37" i="5" l="1"/>
  <c r="C37" i="5"/>
  <c r="C36" i="5"/>
  <c r="D36" i="5"/>
  <c r="N35" i="5"/>
  <c r="M35" i="5"/>
  <c r="D35" i="5"/>
  <c r="C35" i="5"/>
  <c r="N34" i="5"/>
  <c r="M34" i="5"/>
  <c r="N33" i="5"/>
  <c r="M33" i="5"/>
  <c r="D33" i="5"/>
  <c r="C33" i="5"/>
  <c r="N32" i="5" l="1"/>
  <c r="M32" i="5"/>
  <c r="N31" i="5"/>
  <c r="N30" i="5"/>
  <c r="M30" i="5"/>
  <c r="F30" i="5"/>
  <c r="E30" i="5"/>
  <c r="C30" i="5"/>
  <c r="D30" i="5"/>
  <c r="F29" i="5"/>
  <c r="E29" i="5"/>
  <c r="D29" i="5"/>
  <c r="C29" i="5"/>
  <c r="C24" i="5"/>
  <c r="D24" i="5"/>
  <c r="F24" i="5"/>
  <c r="E24" i="5"/>
  <c r="N15" i="5"/>
  <c r="N4" i="5"/>
  <c r="F13" i="5"/>
  <c r="D10" i="5"/>
  <c r="D13" i="5"/>
  <c r="D14" i="5"/>
  <c r="E23" i="5"/>
  <c r="D23" i="5"/>
  <c r="C10" i="5"/>
  <c r="D19" i="5" l="1"/>
  <c r="C19" i="5"/>
  <c r="C18" i="5"/>
  <c r="D18" i="5"/>
  <c r="M15" i="5"/>
  <c r="D15" i="5"/>
  <c r="C15" i="5"/>
  <c r="E13" i="5"/>
  <c r="C13" i="5"/>
  <c r="F10" i="5"/>
  <c r="E10" i="5"/>
  <c r="M4" i="5"/>
  <c r="F7" i="5"/>
  <c r="E7" i="5"/>
  <c r="C7" i="5"/>
  <c r="N8" i="5"/>
  <c r="M8" i="5"/>
  <c r="D7" i="5"/>
  <c r="D6" i="5"/>
  <c r="C6" i="5"/>
  <c r="F5" i="5"/>
  <c r="E5" i="5"/>
  <c r="D5" i="5"/>
  <c r="C5" i="5"/>
</calcChain>
</file>

<file path=xl/sharedStrings.xml><?xml version="1.0" encoding="utf-8"?>
<sst xmlns="http://schemas.openxmlformats.org/spreadsheetml/2006/main" count="1350" uniqueCount="408">
  <si>
    <t>Delta</t>
  </si>
  <si>
    <t>Country</t>
  </si>
  <si>
    <t>Kelantan</t>
  </si>
  <si>
    <t>Malaysia</t>
  </si>
  <si>
    <t>-</t>
  </si>
  <si>
    <t>Chao Praya</t>
  </si>
  <si>
    <t>Thailand</t>
  </si>
  <si>
    <t>Rhine-Meuse</t>
  </si>
  <si>
    <t>The Netherlands</t>
  </si>
  <si>
    <t>Pearl</t>
  </si>
  <si>
    <t>China</t>
  </si>
  <si>
    <t>Yangtze</t>
  </si>
  <si>
    <t>Red River</t>
  </si>
  <si>
    <t>Vietnam</t>
  </si>
  <si>
    <t>Ganges-Brahmaputra</t>
  </si>
  <si>
    <t>Bangladesh</t>
  </si>
  <si>
    <t>Yellow River</t>
  </si>
  <si>
    <t>(Han et al., 2011)</t>
  </si>
  <si>
    <t>Rhone</t>
  </si>
  <si>
    <t>France</t>
  </si>
  <si>
    <t>(de Montety et al., 2008)</t>
  </si>
  <si>
    <t>Po</t>
  </si>
  <si>
    <t>Italy</t>
  </si>
  <si>
    <t>Burdekin</t>
  </si>
  <si>
    <t>Australia</t>
  </si>
  <si>
    <t>Fraser</t>
  </si>
  <si>
    <t>Canada</t>
  </si>
  <si>
    <t>Llobregat</t>
  </si>
  <si>
    <t>Spain</t>
  </si>
  <si>
    <t>Indonesia</t>
  </si>
  <si>
    <t>Doñana</t>
  </si>
  <si>
    <t>(Manzano et al., 2001)</t>
  </si>
  <si>
    <t>Mahanadi</t>
  </si>
  <si>
    <t>India</t>
  </si>
  <si>
    <t>Vistula</t>
  </si>
  <si>
    <t>Poland</t>
  </si>
  <si>
    <t>(Kozerski, 1983)</t>
  </si>
  <si>
    <t>Mekong</t>
  </si>
  <si>
    <t>Tokar</t>
  </si>
  <si>
    <t>Sudan</t>
  </si>
  <si>
    <t>Ebro</t>
  </si>
  <si>
    <t>Iraq</t>
  </si>
  <si>
    <t>Mississippi</t>
  </si>
  <si>
    <t>United States</t>
  </si>
  <si>
    <t>Saloum</t>
  </si>
  <si>
    <t>Senegal</t>
  </si>
  <si>
    <t>(Faye et al., 2005)</t>
  </si>
  <si>
    <t>Nile</t>
  </si>
  <si>
    <t>Egypt</t>
  </si>
  <si>
    <t>(Pennington et al., 2017; Stanley and Warne, 1993)</t>
  </si>
  <si>
    <t>(Sinsakul, 2000)</t>
  </si>
  <si>
    <t>(Tanabe et al., 2006)</t>
  </si>
  <si>
    <t>(Saito et al., 2001)</t>
  </si>
  <si>
    <t>(Fanget et al., 2016)</t>
  </si>
  <si>
    <t>(Zong et al., 2009)</t>
  </si>
  <si>
    <t>(Makowska, 1991)</t>
  </si>
  <si>
    <t>(Ausseil-Badie et al., 1991)</t>
  </si>
  <si>
    <t>(Cooke, 1985)</t>
  </si>
  <si>
    <t>Remarks</t>
  </si>
  <si>
    <t>3500-6000 BP</t>
  </si>
  <si>
    <t>Krishna</t>
  </si>
  <si>
    <t>(Prabaharan et al., 2018)</t>
  </si>
  <si>
    <t>Godovari</t>
  </si>
  <si>
    <t>(de Haas et al., 2018)</t>
  </si>
  <si>
    <t>(Shamsudduha and Uddin, 2007)</t>
  </si>
  <si>
    <t>Islam said 15% extent</t>
  </si>
  <si>
    <t>Apex at Kaifeng, roughly 600 km upstream, shoreline 120 km landinwards.</t>
  </si>
  <si>
    <t>References</t>
  </si>
  <si>
    <t>(Kagabu et al., 2010)</t>
  </si>
  <si>
    <t>(Sanford and Buapeng, 1996; Yamanaka et al., 2011)</t>
  </si>
  <si>
    <t>(Larsen et al., 2017; Winkel et al., 2011)</t>
  </si>
  <si>
    <t>(Kozerski, 1983; Makowska, 1991)</t>
  </si>
  <si>
    <t>(Wang and Jiao, 2012; Zong et al., 2012)</t>
  </si>
  <si>
    <t>(Teatini et al., 2011)</t>
  </si>
  <si>
    <t>Nakdong</t>
  </si>
  <si>
    <t>(Yoo et al., 2017)</t>
  </si>
  <si>
    <t>South-Korea</t>
  </si>
  <si>
    <t>DINOLOKET</t>
  </si>
  <si>
    <t>(Kumar et al., 2011)</t>
  </si>
  <si>
    <t>(Griffith, 2003)</t>
  </si>
  <si>
    <t>Niger</t>
  </si>
  <si>
    <t>Nigeria</t>
  </si>
  <si>
    <t>(Minderhoud, 2018)</t>
  </si>
  <si>
    <t>(Larsen et al., 2017)</t>
  </si>
  <si>
    <t>(Custodio, 2001)</t>
  </si>
  <si>
    <t>Clay content increases a lot in coastal direction</t>
  </si>
  <si>
    <t>Even hypersaline water due to evaporation excess possible</t>
  </si>
  <si>
    <t>Named Chao Phya?</t>
  </si>
  <si>
    <t>Gupta has higher values than Giao et al.</t>
  </si>
  <si>
    <t>conf/unconf</t>
  </si>
  <si>
    <t>Unconfined</t>
  </si>
  <si>
    <t>Confined</t>
  </si>
  <si>
    <t>Recharge_min</t>
  </si>
  <si>
    <t>Recharge_max</t>
  </si>
  <si>
    <t>(Fass et al., 2007) (McMahon, 2000)</t>
  </si>
  <si>
    <t>(Michael &amp; Voss, 2009)</t>
  </si>
  <si>
    <t>Only top aquifer</t>
  </si>
  <si>
    <t>(Colombani et al., 2016)</t>
  </si>
  <si>
    <t>Complete aquifer system, 1 km depth</t>
  </si>
  <si>
    <t>NaN</t>
  </si>
  <si>
    <t>(McMahon et al., 2000)</t>
  </si>
  <si>
    <t>(Narayan et al., 2007)</t>
  </si>
  <si>
    <t>(Giao et al., 1998)</t>
  </si>
  <si>
    <t>(Das Gupta, 1985)</t>
  </si>
  <si>
    <t>(Kwong et al., 2016)</t>
  </si>
  <si>
    <t>(Bobba Gosh, ?)</t>
  </si>
  <si>
    <t>(Samsudin et al., 1997; 2008)</t>
  </si>
  <si>
    <t>Jakarta</t>
  </si>
  <si>
    <t>(Onodera et al., 2009)</t>
  </si>
  <si>
    <t>(Hussein, 1986)</t>
  </si>
  <si>
    <t>Transmissivities, converted with a depth of 250m from Zamrsky 2017</t>
  </si>
  <si>
    <t>Large scale, 1km depth</t>
  </si>
  <si>
    <t>USA</t>
  </si>
  <si>
    <t>Very large scale, 5km depth</t>
  </si>
  <si>
    <t>(Thompson et al., 2007)</t>
  </si>
  <si>
    <t>(Cao et al., 2016)</t>
  </si>
  <si>
    <t>(Amajor, 1991)</t>
  </si>
  <si>
    <t>Estimated by assuming aquifer thickness of 50 m</t>
  </si>
  <si>
    <t>Depth of investigation (m)</t>
  </si>
  <si>
    <t>(Shi et al. 2012, Xue et al., 2008)</t>
  </si>
  <si>
    <t>Cross-section Shi 2012 is transversal direction of delta, shows ellipse concept. 5 aquitards in Xue paper, but we don't count confining layer as aquitard.</t>
  </si>
  <si>
    <t>(Chen et al., 2014)</t>
  </si>
  <si>
    <t>Values first aquifer only reported</t>
  </si>
  <si>
    <t>(Yang, 2013)</t>
  </si>
  <si>
    <t>(Minderhoud et al., 2017)</t>
  </si>
  <si>
    <t>(van Pham et al., 2019)</t>
  </si>
  <si>
    <t>n_min</t>
  </si>
  <si>
    <t>n_max</t>
  </si>
  <si>
    <t>Netherlands</t>
  </si>
  <si>
    <t>(Oude Essink et al., 2010)</t>
  </si>
  <si>
    <t>(van Engelen et al., 2019)</t>
  </si>
  <si>
    <t>(Iribar et al., 1997)</t>
  </si>
  <si>
    <t>(Bridger &amp; Allen, 2006)</t>
  </si>
  <si>
    <t>Regional Model, No calibration</t>
  </si>
  <si>
    <t>(Ricketts, 1998)</t>
  </si>
  <si>
    <t>Guadalfeo</t>
  </si>
  <si>
    <t>(Duque, 2019)</t>
  </si>
  <si>
    <t>Kaqf_min</t>
  </si>
  <si>
    <t>(m/d)</t>
  </si>
  <si>
    <t>Kaqf_max</t>
  </si>
  <si>
    <t>Kaqt_min</t>
  </si>
  <si>
    <t>Kaqt_max</t>
  </si>
  <si>
    <t>Kh/Kv</t>
  </si>
  <si>
    <t>Volta</t>
  </si>
  <si>
    <t>Ghana</t>
  </si>
  <si>
    <t>(Akpati, B., 1978)</t>
  </si>
  <si>
    <t>(Yidana &amp; Chegbeleh, 2013)</t>
  </si>
  <si>
    <t>Only top aquifer, Calibrated</t>
  </si>
  <si>
    <t>Crystalline basement quite permeable</t>
  </si>
  <si>
    <t>(Szpakowski et al., 2007)</t>
  </si>
  <si>
    <t>Area infiltration zones = 90 km2</t>
  </si>
  <si>
    <t>(Jaworska-Szulc, 2009)</t>
  </si>
  <si>
    <t>Myanmar</t>
  </si>
  <si>
    <t>(IWMI &amp; ARK, 2017)</t>
  </si>
  <si>
    <t>(m)</t>
  </si>
  <si>
    <t>1 50m thick shallow aquifer, below just 2 km of sand with clay intercalations</t>
  </si>
  <si>
    <t>Jassim &amp; Goff, 2006</t>
  </si>
  <si>
    <t>Iraq/Kuwait</t>
  </si>
  <si>
    <t>(Jassim &amp; Goff, 2006)</t>
  </si>
  <si>
    <t>(UN-SCW &amp; BGR, 2013)</t>
  </si>
  <si>
    <t>Indus</t>
  </si>
  <si>
    <t>Pakistan</t>
  </si>
  <si>
    <t>(Naseem et al., 2018)</t>
  </si>
  <si>
    <t>Focus on shallow aquifer in the area. In depressions water can be 100 g/l (evaporation). Salt water found near fault zones in Dibdibba formation.</t>
  </si>
  <si>
    <t>(Lindsay et al., 1991; Bonsor et al., 2017)</t>
  </si>
  <si>
    <t>Transboundary data integration project.</t>
  </si>
  <si>
    <t>Transboundary data integration project. Recharge calculated based on reported empirical formula in paper. Data more representative for shallow aquifers &lt;150m</t>
  </si>
  <si>
    <t>(Bonsor et al., 2017)</t>
  </si>
  <si>
    <t>(Clift et al., 2008)</t>
  </si>
  <si>
    <t>Large extent salinized, only small part of that likely caused by marine trangression (Bonsor et al. 2018)</t>
  </si>
  <si>
    <t>(Tamura et al., 2009)</t>
  </si>
  <si>
    <t>Based on pumping tests and model calibration</t>
  </si>
  <si>
    <t>(Sahoo &amp; Jha, 2017)</t>
  </si>
  <si>
    <t>Calibrated Regional Model with different zones. To convert transmissivities we used the aquifer thickness map in Vasquez, 2006. Ignored lowest value of 3e-03 as probably a boundary effect at play here. K upper range is crazy: 1000 m/d?!??!? Probably a sign of severe parameter insensitivity for certain areas</t>
  </si>
  <si>
    <t>Aquifers consist of very fine sands up to coarse sands. Silt assigned to Kaqt_max</t>
  </si>
  <si>
    <t>Cause variability K</t>
  </si>
  <si>
    <t>Source K</t>
  </si>
  <si>
    <t>Literature</t>
  </si>
  <si>
    <t>Calibration</t>
  </si>
  <si>
    <t>Scenarios</t>
  </si>
  <si>
    <t>Lithology</t>
  </si>
  <si>
    <t>Dataset</t>
  </si>
  <si>
    <t>Unspecified</t>
  </si>
  <si>
    <t>Lab</t>
  </si>
  <si>
    <t>Pumping Test</t>
  </si>
  <si>
    <t>Spatial Z</t>
  </si>
  <si>
    <t>Spatial XY</t>
  </si>
  <si>
    <t>Spatial XYZ</t>
  </si>
  <si>
    <t>Spatial XZ</t>
  </si>
  <si>
    <t>Slug test</t>
  </si>
  <si>
    <t>Regional Model, measured K's but only mentioned mearured in "field", not how.</t>
  </si>
  <si>
    <t>Conceptual, lab test is based on grain size distribution</t>
  </si>
  <si>
    <t>Soil hydraulic conductivity only reported; low values, might be interpreted as confining K?</t>
  </si>
  <si>
    <t>South-West part, focus on Dibdibba. Aquifer thicknesses used of 100 Southeast (min) and 500 (north west of crosssection for the max. Maximum recharge for Pleistocene</t>
  </si>
  <si>
    <t>Kaqf with pumping test, Kaqt with lab test</t>
  </si>
  <si>
    <t>Values Michael based on inverse parameter estimation of with regional model of heads, groundwater ages and statistical analysis of logs. Largest variability due to lithology</t>
  </si>
  <si>
    <t>Aqt_explicit</t>
  </si>
  <si>
    <t>Anisotropy_min</t>
  </si>
  <si>
    <t>Anisotropy_max</t>
  </si>
  <si>
    <t>2 aqtds near riv branch</t>
  </si>
  <si>
    <t>10 aqtds in the top 300</t>
  </si>
  <si>
    <t>N_aqt</t>
  </si>
  <si>
    <t>Mud/Total</t>
  </si>
  <si>
    <t>apex taken at Lent</t>
  </si>
  <si>
    <t>(McMahon, 2000)</t>
  </si>
  <si>
    <t>l_conf</t>
  </si>
  <si>
    <t>N_pal</t>
  </si>
  <si>
    <t>Chaotic lithology</t>
  </si>
  <si>
    <t>l_tra</t>
  </si>
  <si>
    <t>t_max</t>
  </si>
  <si>
    <t>(Giosan et al, 2018)</t>
  </si>
  <si>
    <t>Current coastline closest in the Holocene, Pleistocene 125000 BP 50% transgression</t>
  </si>
  <si>
    <t>(Amorosi et al., 2005)</t>
  </si>
  <si>
    <t>70 km apex of coast at Pontelagoscuro (Correggiari et al., 2005)</t>
  </si>
  <si>
    <t>Ref_tra</t>
  </si>
  <si>
    <t>Remarks_tra</t>
  </si>
  <si>
    <t>N_chan</t>
  </si>
  <si>
    <t>(Fielding et al., 2006)</t>
  </si>
  <si>
    <t>(Manzano et al.)</t>
  </si>
  <si>
    <t>s_pal</t>
  </si>
  <si>
    <t>l_sal</t>
  </si>
  <si>
    <t>Remarks_sal</t>
  </si>
  <si>
    <t>Ref_sal</t>
  </si>
  <si>
    <t>(Savenije, 2012)</t>
  </si>
  <si>
    <t>(Goodbred et al., 2000)</t>
  </si>
  <si>
    <t>(Nguyen et al., 2006)</t>
  </si>
  <si>
    <t>Ref_aqt</t>
  </si>
  <si>
    <t>Remarks_aqt</t>
  </si>
  <si>
    <t>Ref_pal</t>
  </si>
  <si>
    <t>Remarks_pal</t>
  </si>
  <si>
    <t>(van Asselen et al., 2017)</t>
  </si>
  <si>
    <t>(Zong et al., 2011)</t>
  </si>
  <si>
    <t>(Winkel et al., 2011)</t>
  </si>
  <si>
    <t>(Ricketts, 2001)</t>
  </si>
  <si>
    <t>L</t>
  </si>
  <si>
    <t>In the east paleochannels found, but how much is in old non-accessible report (Diluca, 1976)</t>
  </si>
  <si>
    <t>(Teatini et al., 2011, Colombani, 2017)</t>
  </si>
  <si>
    <t>(Custodio et al., 2010)</t>
  </si>
  <si>
    <t>Only confining layer, in this way will resemble conceptual figure of Ebro.</t>
  </si>
  <si>
    <t xml:space="preserve">(Prabaharan et al., 2018) </t>
  </si>
  <si>
    <t>l_a</t>
  </si>
  <si>
    <t>l_b</t>
  </si>
  <si>
    <t>H_b</t>
  </si>
  <si>
    <t>H_a/H_b</t>
  </si>
  <si>
    <t>(-)</t>
  </si>
  <si>
    <t>alpha</t>
  </si>
  <si>
    <t>rad</t>
  </si>
  <si>
    <t>beta</t>
  </si>
  <si>
    <t>phi</t>
  </si>
  <si>
    <t>(km)</t>
  </si>
  <si>
    <t>H_a</t>
  </si>
  <si>
    <t>Ref_H</t>
  </si>
  <si>
    <t>L_a</t>
  </si>
  <si>
    <t>L_b</t>
  </si>
  <si>
    <t>gamma</t>
  </si>
  <si>
    <t>z_b</t>
  </si>
  <si>
    <t>pi rad</t>
  </si>
  <si>
    <t>(Sestini, 1989)</t>
  </si>
  <si>
    <t>Remakrs_H</t>
  </si>
  <si>
    <t>Kaqt_is_vert</t>
  </si>
  <si>
    <t>Offshore. Reported hydraulic conductivities for aquitards referred to Yang, who inversed modeled slug tests and it appears to be a horizontal hydraulic conductivity.</t>
  </si>
  <si>
    <t>Data in supplementary info</t>
  </si>
  <si>
    <t>Next to Donana delta. Marine deposits taken as aquitard, these have anisotropy of 3.</t>
  </si>
  <si>
    <t>Recharge not only natural, also human induced, therefore excluded as upper recharge rate.</t>
  </si>
  <si>
    <t>(m-1)</t>
  </si>
  <si>
    <t>Ss_min</t>
  </si>
  <si>
    <t>Ss_max</t>
  </si>
  <si>
    <t>Calibrated Regional Model, values in supplementary data. For Specific storage excluded the phreatic aquifer.</t>
  </si>
  <si>
    <t>Ref is MSc_Thesis. Research later published in 2015 in Groundwater. Aquitard = Confining layer</t>
  </si>
  <si>
    <t>Range in conductivities calculated from reported transmissivities and dividing these by the minimum thickness for the maximum Kh and vice versa. This report only contains crude estimates. Report on delta starts at page 105, chapter 3.10</t>
  </si>
  <si>
    <t>(Viossanges et al., 2017)</t>
  </si>
  <si>
    <r>
      <t xml:space="preserve">Akpati, B. N. (1978). Geologic structure and evolution of the Keta basin, West Africa. </t>
    </r>
    <r>
      <rPr>
        <i/>
        <sz val="11"/>
        <color theme="1"/>
        <rFont val="Calibri"/>
        <family val="2"/>
        <scheme val="minor"/>
      </rPr>
      <t>Bulletin of the Geological Society of America</t>
    </r>
    <r>
      <rPr>
        <sz val="11"/>
        <color theme="1"/>
        <rFont val="Calibri"/>
        <family val="2"/>
        <scheme val="minor"/>
      </rPr>
      <t xml:space="preserve">, </t>
    </r>
    <r>
      <rPr>
        <i/>
        <sz val="11"/>
        <color theme="1"/>
        <rFont val="Calibri"/>
        <family val="2"/>
        <scheme val="minor"/>
      </rPr>
      <t>89</t>
    </r>
    <r>
      <rPr>
        <sz val="11"/>
        <color theme="1"/>
        <rFont val="Calibri"/>
        <family val="2"/>
        <scheme val="minor"/>
      </rPr>
      <t>, 124–132. https://doi.org/10.1130/0016-7606(1979)90&lt;889:GSAEOT&gt;2.0.CO;2</t>
    </r>
  </si>
  <si>
    <r>
      <t xml:space="preserve">Amajor, L. C. (1991). Aquifers in the Benin Formation ( Miocene Recent ), Eastern Niger Delta , Nigeria : Lithostratigraphy , Hydraulics , and Water Quality. </t>
    </r>
    <r>
      <rPr>
        <i/>
        <sz val="11"/>
        <color theme="1"/>
        <rFont val="Calibri"/>
        <family val="2"/>
        <scheme val="minor"/>
      </rPr>
      <t>Environmental Geology Water Sciences</t>
    </r>
    <r>
      <rPr>
        <sz val="11"/>
        <color theme="1"/>
        <rFont val="Calibri"/>
        <family val="2"/>
        <scheme val="minor"/>
      </rPr>
      <t xml:space="preserve">, </t>
    </r>
    <r>
      <rPr>
        <i/>
        <sz val="11"/>
        <color theme="1"/>
        <rFont val="Calibri"/>
        <family val="2"/>
        <scheme val="minor"/>
      </rPr>
      <t>17</t>
    </r>
    <r>
      <rPr>
        <sz val="11"/>
        <color theme="1"/>
        <rFont val="Calibri"/>
        <family val="2"/>
        <scheme val="minor"/>
      </rPr>
      <t>(2), 85–101.</t>
    </r>
  </si>
  <si>
    <r>
      <t xml:space="preserve">Amorosi, A., Centineo, M. C., Colalongo, M. L., &amp; Fiorini, F. (2005). Millennial-scale depositional cycles from the Holocene of the Po Plain, Italy. </t>
    </r>
    <r>
      <rPr>
        <i/>
        <sz val="11"/>
        <color theme="1"/>
        <rFont val="Calibri"/>
        <family val="2"/>
        <scheme val="minor"/>
      </rPr>
      <t>Marine Geology</t>
    </r>
    <r>
      <rPr>
        <sz val="11"/>
        <color theme="1"/>
        <rFont val="Calibri"/>
        <family val="2"/>
        <scheme val="minor"/>
      </rPr>
      <t xml:space="preserve">, </t>
    </r>
    <r>
      <rPr>
        <i/>
        <sz val="11"/>
        <color theme="1"/>
        <rFont val="Calibri"/>
        <family val="2"/>
        <scheme val="minor"/>
      </rPr>
      <t>222</t>
    </r>
    <r>
      <rPr>
        <sz val="11"/>
        <color theme="1"/>
        <rFont val="Calibri"/>
        <family val="2"/>
        <scheme val="minor"/>
      </rPr>
      <t>–</t>
    </r>
    <r>
      <rPr>
        <i/>
        <sz val="11"/>
        <color theme="1"/>
        <rFont val="Calibri"/>
        <family val="2"/>
        <scheme val="minor"/>
      </rPr>
      <t>223</t>
    </r>
    <r>
      <rPr>
        <sz val="11"/>
        <color theme="1"/>
        <rFont val="Calibri"/>
        <family val="2"/>
        <scheme val="minor"/>
      </rPr>
      <t>(1–4), 7–18. https://doi.org/10.1016/j.margeo.2005.06.041</t>
    </r>
  </si>
  <si>
    <r>
      <t xml:space="preserve">Ausseil-Badie, J., Barusseau, J. P., Descamps, C., Salif Diop, E. H., Giresse, P., &amp; Pazdur, M. (1991). Holocene Deltaic Sequence in the Saloum Estuary, Senegal. </t>
    </r>
    <r>
      <rPr>
        <i/>
        <sz val="11"/>
        <color theme="1"/>
        <rFont val="Calibri"/>
        <family val="2"/>
        <scheme val="minor"/>
      </rPr>
      <t>Quaternary Research</t>
    </r>
    <r>
      <rPr>
        <sz val="11"/>
        <color theme="1"/>
        <rFont val="Calibri"/>
        <family val="2"/>
        <scheme val="minor"/>
      </rPr>
      <t xml:space="preserve">, </t>
    </r>
    <r>
      <rPr>
        <i/>
        <sz val="11"/>
        <color theme="1"/>
        <rFont val="Calibri"/>
        <family val="2"/>
        <scheme val="minor"/>
      </rPr>
      <t>36</t>
    </r>
    <r>
      <rPr>
        <sz val="11"/>
        <color theme="1"/>
        <rFont val="Calibri"/>
        <family val="2"/>
        <scheme val="minor"/>
      </rPr>
      <t>(PP0012), 178–194. https://doi.org/10.1016/0033-5894(91)90024-Y</t>
    </r>
  </si>
  <si>
    <t>Bobba, A. G. (n.d.). Simulation of Groundwater and Contamination Discharge from Krishna – Godavari Coast to Bay of Bengal , India, 23–40.</t>
  </si>
  <si>
    <r>
      <t xml:space="preserve">Bonsor, H. C., MacDonald, A. M., Ahmed, K. M., Burgess, W. G., Basharat, M., Calow, R. C., et al. (2017). Hydrogeological typologies of the Indo-Gangetic basin alluvial aquifer, South Asia.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25</t>
    </r>
    <r>
      <rPr>
        <sz val="11"/>
        <color theme="1"/>
        <rFont val="Calibri"/>
        <family val="2"/>
        <scheme val="minor"/>
      </rPr>
      <t>(5), 1377–1406. https://doi.org/10.1007/s10040-017-1550-z</t>
    </r>
  </si>
  <si>
    <r>
      <t xml:space="preserve">Bridger, D. W., &amp; Allen, D. M. (2006). An investigation into the effects of diffusion on salinity distribution beneath the Fraser River Delta, Canada.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14</t>
    </r>
    <r>
      <rPr>
        <sz val="11"/>
        <color theme="1"/>
        <rFont val="Calibri"/>
        <family val="2"/>
        <scheme val="minor"/>
      </rPr>
      <t>(8), 1423–1442. https://doi.org/10.1007/s10040-006-0060-1</t>
    </r>
  </si>
  <si>
    <r>
      <t xml:space="preserve">Clift, P. D., Giosan, L., Blusztajn, J., Campbell, I. H., Allen, C., Pringle, M., et al. (2008). Holocene erosion of the Lesser Himalaya triggered by intensified summer monsoon. </t>
    </r>
    <r>
      <rPr>
        <i/>
        <sz val="11"/>
        <color theme="1"/>
        <rFont val="Calibri"/>
        <family val="2"/>
        <scheme val="minor"/>
      </rPr>
      <t>Geology</t>
    </r>
    <r>
      <rPr>
        <sz val="11"/>
        <color theme="1"/>
        <rFont val="Calibri"/>
        <family val="2"/>
        <scheme val="minor"/>
      </rPr>
      <t xml:space="preserve">, </t>
    </r>
    <r>
      <rPr>
        <i/>
        <sz val="11"/>
        <color theme="1"/>
        <rFont val="Calibri"/>
        <family val="2"/>
        <scheme val="minor"/>
      </rPr>
      <t>36</t>
    </r>
    <r>
      <rPr>
        <sz val="11"/>
        <color theme="1"/>
        <rFont val="Calibri"/>
        <family val="2"/>
        <scheme val="minor"/>
      </rPr>
      <t>(1), 79–82. https://doi.org/10.1130/G24315A.1</t>
    </r>
  </si>
  <si>
    <r>
      <t xml:space="preserve">Colombani, N., Osti, A., Volta, G., &amp; Mastrocicco, M. (2016). Impact of Climate Change on Salinization of Coastal Water Resources. </t>
    </r>
    <r>
      <rPr>
        <i/>
        <sz val="11"/>
        <color theme="1"/>
        <rFont val="Calibri"/>
        <family val="2"/>
        <scheme val="minor"/>
      </rPr>
      <t>Water Resources Management</t>
    </r>
    <r>
      <rPr>
        <sz val="11"/>
        <color theme="1"/>
        <rFont val="Calibri"/>
        <family val="2"/>
        <scheme val="minor"/>
      </rPr>
      <t xml:space="preserve">, </t>
    </r>
    <r>
      <rPr>
        <i/>
        <sz val="11"/>
        <color theme="1"/>
        <rFont val="Calibri"/>
        <family val="2"/>
        <scheme val="minor"/>
      </rPr>
      <t>30</t>
    </r>
    <r>
      <rPr>
        <sz val="11"/>
        <color theme="1"/>
        <rFont val="Calibri"/>
        <family val="2"/>
        <scheme val="minor"/>
      </rPr>
      <t>(7), 2483–2496. https://doi.org/10.1007/s11269-016-1292-z</t>
    </r>
  </si>
  <si>
    <r>
      <t xml:space="preserve">Cooke, G. A. (1985). Reconstruction of the Mesopotamian coastline in the Holocene. </t>
    </r>
    <r>
      <rPr>
        <i/>
        <sz val="11"/>
        <color theme="1"/>
        <rFont val="Calibri"/>
        <family val="2"/>
        <scheme val="minor"/>
      </rPr>
      <t>Geological Society of America Abstracts</t>
    </r>
    <r>
      <rPr>
        <sz val="11"/>
        <color theme="1"/>
        <rFont val="Calibri"/>
        <family val="2"/>
        <scheme val="minor"/>
      </rPr>
      <t xml:space="preserve">, </t>
    </r>
    <r>
      <rPr>
        <i/>
        <sz val="11"/>
        <color theme="1"/>
        <rFont val="Calibri"/>
        <family val="2"/>
        <scheme val="minor"/>
      </rPr>
      <t>2</t>
    </r>
    <r>
      <rPr>
        <sz val="11"/>
        <color theme="1"/>
        <rFont val="Calibri"/>
        <family val="2"/>
        <scheme val="minor"/>
      </rPr>
      <t>(1), 15–28.</t>
    </r>
  </si>
  <si>
    <r>
      <t xml:space="preserve">Custodio, E. (2010). Coastal aquifers of Europe: an overview.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18</t>
    </r>
    <r>
      <rPr>
        <sz val="11"/>
        <color theme="1"/>
        <rFont val="Calibri"/>
        <family val="2"/>
        <scheme val="minor"/>
      </rPr>
      <t>(1), 269–280. https://doi.org/10.1007/s10040-009-0496-1</t>
    </r>
  </si>
  <si>
    <r>
      <t xml:space="preserve">Duque, C., Olsen, J. T., Sánchez-Úbeda, J. P., &amp; Calvache, M. L. (2019). Groundwater salinity during 500 years of anthropogenic-driven coastline changes in the Motril-Salobreña aquifer (South East Spain). </t>
    </r>
    <r>
      <rPr>
        <i/>
        <sz val="11"/>
        <color theme="1"/>
        <rFont val="Calibri"/>
        <family val="2"/>
        <scheme val="minor"/>
      </rPr>
      <t>Environmental Earth Sciences</t>
    </r>
    <r>
      <rPr>
        <sz val="11"/>
        <color theme="1"/>
        <rFont val="Calibri"/>
        <family val="2"/>
        <scheme val="minor"/>
      </rPr>
      <t xml:space="preserve">, </t>
    </r>
    <r>
      <rPr>
        <i/>
        <sz val="11"/>
        <color theme="1"/>
        <rFont val="Calibri"/>
        <family val="2"/>
        <scheme val="minor"/>
      </rPr>
      <t>78</t>
    </r>
    <r>
      <rPr>
        <sz val="11"/>
        <color theme="1"/>
        <rFont val="Calibri"/>
        <family val="2"/>
        <scheme val="minor"/>
      </rPr>
      <t>(15), 471. https://doi.org/10.1007/s12665-019-8476-9</t>
    </r>
  </si>
  <si>
    <r>
      <t xml:space="preserve">Fanget, A. S., Bassetti, M. A., Fontanier, C., Tudryn, A., &amp; Berné, S. (2016). Sedimentary archives of climate and sea-level changes during the Holocene in the Rhône prodelta (NW Mediterranean Sea). </t>
    </r>
    <r>
      <rPr>
        <i/>
        <sz val="11"/>
        <color theme="1"/>
        <rFont val="Calibri"/>
        <family val="2"/>
        <scheme val="minor"/>
      </rPr>
      <t>Climate of the Past</t>
    </r>
    <r>
      <rPr>
        <sz val="11"/>
        <color theme="1"/>
        <rFont val="Calibri"/>
        <family val="2"/>
        <scheme val="minor"/>
      </rPr>
      <t xml:space="preserve">, </t>
    </r>
    <r>
      <rPr>
        <i/>
        <sz val="11"/>
        <color theme="1"/>
        <rFont val="Calibri"/>
        <family val="2"/>
        <scheme val="minor"/>
      </rPr>
      <t>12</t>
    </r>
    <r>
      <rPr>
        <sz val="11"/>
        <color theme="1"/>
        <rFont val="Calibri"/>
        <family val="2"/>
        <scheme val="minor"/>
      </rPr>
      <t>(12), 2161–2179. https://doi.org/10.5194/cp-12-2161-2016</t>
    </r>
  </si>
  <si>
    <r>
      <t xml:space="preserve">Fass, T., Cook, P. G., Stieglitz, T., &amp; Herczeg, A. L. (2007). Development of saline ground water through transpiration of sea water. </t>
    </r>
    <r>
      <rPr>
        <i/>
        <sz val="11"/>
        <color theme="1"/>
        <rFont val="Calibri"/>
        <family val="2"/>
        <scheme val="minor"/>
      </rPr>
      <t>Ground Water</t>
    </r>
    <r>
      <rPr>
        <sz val="11"/>
        <color theme="1"/>
        <rFont val="Calibri"/>
        <family val="2"/>
        <scheme val="minor"/>
      </rPr>
      <t xml:space="preserve">, </t>
    </r>
    <r>
      <rPr>
        <i/>
        <sz val="11"/>
        <color theme="1"/>
        <rFont val="Calibri"/>
        <family val="2"/>
        <scheme val="minor"/>
      </rPr>
      <t>45</t>
    </r>
    <r>
      <rPr>
        <sz val="11"/>
        <color theme="1"/>
        <rFont val="Calibri"/>
        <family val="2"/>
        <scheme val="minor"/>
      </rPr>
      <t>(6), 703–710. https://doi.org/10.1111/j.1745-6584.2007.00344.x</t>
    </r>
  </si>
  <si>
    <r>
      <t xml:space="preserve">Faye, S., Maloszewski, P., Stichler, W., Trimborn, P., Faye, S. C., &amp; Gaye, C. B. (2005). Groundwater salinization in the Saloum (Senegal) delta aquifer: Minor elements and isotopic indicators. </t>
    </r>
    <r>
      <rPr>
        <i/>
        <sz val="11"/>
        <color theme="1"/>
        <rFont val="Calibri"/>
        <family val="2"/>
        <scheme val="minor"/>
      </rPr>
      <t>Science of the Total Environment</t>
    </r>
    <r>
      <rPr>
        <sz val="11"/>
        <color theme="1"/>
        <rFont val="Calibri"/>
        <family val="2"/>
        <scheme val="minor"/>
      </rPr>
      <t xml:space="preserve">, </t>
    </r>
    <r>
      <rPr>
        <i/>
        <sz val="11"/>
        <color theme="1"/>
        <rFont val="Calibri"/>
        <family val="2"/>
        <scheme val="minor"/>
      </rPr>
      <t>343</t>
    </r>
    <r>
      <rPr>
        <sz val="11"/>
        <color theme="1"/>
        <rFont val="Calibri"/>
        <family val="2"/>
        <scheme val="minor"/>
      </rPr>
      <t>(1–3), 243–259. https://doi.org/10.1016/j.scitotenv.2004.10.001</t>
    </r>
  </si>
  <si>
    <r>
      <t xml:space="preserve">Fielding, C. R., Trueman, J. D., &amp; Alexander, J. (2006). Holocene Depositional History of the Burdekin River Delta of Northeastern Australia: A Model for a Low-Accommodation, Highstand Delta. </t>
    </r>
    <r>
      <rPr>
        <i/>
        <sz val="11"/>
        <color theme="1"/>
        <rFont val="Calibri"/>
        <family val="2"/>
        <scheme val="minor"/>
      </rPr>
      <t>Journal of Sedimentary Research</t>
    </r>
    <r>
      <rPr>
        <sz val="11"/>
        <color theme="1"/>
        <rFont val="Calibri"/>
        <family val="2"/>
        <scheme val="minor"/>
      </rPr>
      <t xml:space="preserve">, </t>
    </r>
    <r>
      <rPr>
        <i/>
        <sz val="11"/>
        <color theme="1"/>
        <rFont val="Calibri"/>
        <family val="2"/>
        <scheme val="minor"/>
      </rPr>
      <t>76</t>
    </r>
    <r>
      <rPr>
        <sz val="11"/>
        <color theme="1"/>
        <rFont val="Calibri"/>
        <family val="2"/>
        <scheme val="minor"/>
      </rPr>
      <t>(3), 411–428. https://doi.org/10.2110/jsr.2006.032</t>
    </r>
  </si>
  <si>
    <r>
      <t xml:space="preserve">Giao, P. H., Phien-Wej, N., &amp; Honjo, Y. (1998). FEM quasi-3D modelling of responses to artificial recharge in the Bangkok multiaquifer system. </t>
    </r>
    <r>
      <rPr>
        <i/>
        <sz val="11"/>
        <color theme="1"/>
        <rFont val="Calibri"/>
        <family val="2"/>
        <scheme val="minor"/>
      </rPr>
      <t>Environmental Modelling and Software</t>
    </r>
    <r>
      <rPr>
        <sz val="11"/>
        <color theme="1"/>
        <rFont val="Calibri"/>
        <family val="2"/>
        <scheme val="minor"/>
      </rPr>
      <t xml:space="preserve">, </t>
    </r>
    <r>
      <rPr>
        <i/>
        <sz val="11"/>
        <color theme="1"/>
        <rFont val="Calibri"/>
        <family val="2"/>
        <scheme val="minor"/>
      </rPr>
      <t>14</t>
    </r>
    <r>
      <rPr>
        <sz val="11"/>
        <color theme="1"/>
        <rFont val="Calibri"/>
        <family val="2"/>
        <scheme val="minor"/>
      </rPr>
      <t>(2–3), 141–151. https://doi.org/10.1016/S1364-8152(98)00065-6</t>
    </r>
  </si>
  <si>
    <r>
      <t xml:space="preserve">Giosan, L., Naing, T., Tun, M. M., Clift, P. D., Filip, F., Constantinescu, S., et al. (2018). On the Holocene evolution of the Ayeyawady megadelta. </t>
    </r>
    <r>
      <rPr>
        <i/>
        <sz val="11"/>
        <color theme="1"/>
        <rFont val="Calibri"/>
        <family val="2"/>
        <scheme val="minor"/>
      </rPr>
      <t>Earth Surface Dynamics</t>
    </r>
    <r>
      <rPr>
        <sz val="11"/>
        <color theme="1"/>
        <rFont val="Calibri"/>
        <family val="2"/>
        <scheme val="minor"/>
      </rPr>
      <t xml:space="preserve">, </t>
    </r>
    <r>
      <rPr>
        <i/>
        <sz val="11"/>
        <color theme="1"/>
        <rFont val="Calibri"/>
        <family val="2"/>
        <scheme val="minor"/>
      </rPr>
      <t>6</t>
    </r>
    <r>
      <rPr>
        <sz val="11"/>
        <color theme="1"/>
        <rFont val="Calibri"/>
        <family val="2"/>
        <scheme val="minor"/>
      </rPr>
      <t>(2), 451–466. https://doi.org/10.5194/esurf-6-451-2018</t>
    </r>
  </si>
  <si>
    <r>
      <t xml:space="preserve">Goodbred, S. L., &amp; Kuehl, S. A. (2000). The significance of large sediment supply, active tectonism, and eustasy on margin sequence development: Late Quaternary stratigraphy and evolution of the Ganges-Brahmaputra delta. </t>
    </r>
    <r>
      <rPr>
        <i/>
        <sz val="11"/>
        <color theme="1"/>
        <rFont val="Calibri"/>
        <family val="2"/>
        <scheme val="minor"/>
      </rPr>
      <t>Sedimentary Geology</t>
    </r>
    <r>
      <rPr>
        <sz val="11"/>
        <color theme="1"/>
        <rFont val="Calibri"/>
        <family val="2"/>
        <scheme val="minor"/>
      </rPr>
      <t xml:space="preserve">, </t>
    </r>
    <r>
      <rPr>
        <i/>
        <sz val="11"/>
        <color theme="1"/>
        <rFont val="Calibri"/>
        <family val="2"/>
        <scheme val="minor"/>
      </rPr>
      <t>133</t>
    </r>
    <r>
      <rPr>
        <sz val="11"/>
        <color theme="1"/>
        <rFont val="Calibri"/>
        <family val="2"/>
        <scheme val="minor"/>
      </rPr>
      <t>(3–4), 227–248. https://doi.org/10.1016/S0037-0738(00)00041-5</t>
    </r>
  </si>
  <si>
    <r>
      <t xml:space="preserve">Griffith, J. M. (2003). Hydrogeologic Framework of Southeastern Louisiana. </t>
    </r>
    <r>
      <rPr>
        <i/>
        <sz val="11"/>
        <color theme="1"/>
        <rFont val="Calibri"/>
        <family val="2"/>
        <scheme val="minor"/>
      </rPr>
      <t>Louisiana Department of Transportation and Development Water Resourcs Technical Report No. 72</t>
    </r>
    <r>
      <rPr>
        <sz val="11"/>
        <color theme="1"/>
        <rFont val="Calibri"/>
        <family val="2"/>
        <scheme val="minor"/>
      </rPr>
      <t>.</t>
    </r>
  </si>
  <si>
    <r>
      <t xml:space="preserve">Das Gupta, A. (1985). Simulated salt-water movement in the Nakhon Luang Aquifer, Bangkok, Thailand. </t>
    </r>
    <r>
      <rPr>
        <i/>
        <sz val="11"/>
        <color theme="1"/>
        <rFont val="Calibri"/>
        <family val="2"/>
        <scheme val="minor"/>
      </rPr>
      <t>Ground Water</t>
    </r>
    <r>
      <rPr>
        <sz val="11"/>
        <color theme="1"/>
        <rFont val="Calibri"/>
        <family val="2"/>
        <scheme val="minor"/>
      </rPr>
      <t xml:space="preserve">, </t>
    </r>
    <r>
      <rPr>
        <i/>
        <sz val="11"/>
        <color theme="1"/>
        <rFont val="Calibri"/>
        <family val="2"/>
        <scheme val="minor"/>
      </rPr>
      <t>23</t>
    </r>
    <r>
      <rPr>
        <sz val="11"/>
        <color theme="1"/>
        <rFont val="Calibri"/>
        <family val="2"/>
        <scheme val="minor"/>
      </rPr>
      <t>(4).</t>
    </r>
  </si>
  <si>
    <r>
      <t xml:space="preserve">de Haas, T., Pierik, H. J., van der Spek, A. J. F., Cohen, K. M., van Maanen, B., &amp; Kleinhans, M. G. (2018). Holocene evolution of tidal systems in The Netherlands: Effects of rivers, coastal boundary conditions, eco-engineering species, inherited relief and human interference. </t>
    </r>
    <r>
      <rPr>
        <i/>
        <sz val="11"/>
        <color theme="1"/>
        <rFont val="Calibri"/>
        <family val="2"/>
        <scheme val="minor"/>
      </rPr>
      <t>Earth-Science Reviews</t>
    </r>
    <r>
      <rPr>
        <sz val="11"/>
        <color theme="1"/>
        <rFont val="Calibri"/>
        <family val="2"/>
        <scheme val="minor"/>
      </rPr>
      <t xml:space="preserve">, </t>
    </r>
    <r>
      <rPr>
        <i/>
        <sz val="11"/>
        <color theme="1"/>
        <rFont val="Calibri"/>
        <family val="2"/>
        <scheme val="minor"/>
      </rPr>
      <t>177</t>
    </r>
    <r>
      <rPr>
        <sz val="11"/>
        <color theme="1"/>
        <rFont val="Calibri"/>
        <family val="2"/>
        <scheme val="minor"/>
      </rPr>
      <t>, 139–163. https://doi.org/10.1016/j.earscirev.2017.10.006</t>
    </r>
  </si>
  <si>
    <r>
      <t xml:space="preserve">Han, D., Kohfahl, C., Song, X., Xiao, G., &amp; Yang, J. (2011). Geochemical and isotopic evidence for palaeo-seawater intrusion into the south coast aquifer of Laizhou Bay, China. </t>
    </r>
    <r>
      <rPr>
        <i/>
        <sz val="11"/>
        <color theme="1"/>
        <rFont val="Calibri"/>
        <family val="2"/>
        <scheme val="minor"/>
      </rPr>
      <t>Applied Geochemistry</t>
    </r>
    <r>
      <rPr>
        <sz val="11"/>
        <color theme="1"/>
        <rFont val="Calibri"/>
        <family val="2"/>
        <scheme val="minor"/>
      </rPr>
      <t xml:space="preserve">, </t>
    </r>
    <r>
      <rPr>
        <i/>
        <sz val="11"/>
        <color theme="1"/>
        <rFont val="Calibri"/>
        <family val="2"/>
        <scheme val="minor"/>
      </rPr>
      <t>26</t>
    </r>
    <r>
      <rPr>
        <sz val="11"/>
        <color theme="1"/>
        <rFont val="Calibri"/>
        <family val="2"/>
        <scheme val="minor"/>
      </rPr>
      <t>(5), 863–883. https://doi.org/10.1016/j.apgeochem.2011.02.007</t>
    </r>
  </si>
  <si>
    <r>
      <t xml:space="preserve">Hehanussa, P. E. (1980). Appenndix 2: Excursion guide to the Cimanuk Delta complex, west Java. In </t>
    </r>
    <r>
      <rPr>
        <i/>
        <sz val="11"/>
        <color theme="1"/>
        <rFont val="Calibri"/>
        <family val="2"/>
        <scheme val="minor"/>
      </rPr>
      <t>Proceedings of the Jakarta workshop on coastal resources management</t>
    </r>
    <r>
      <rPr>
        <sz val="11"/>
        <color theme="1"/>
        <rFont val="Calibri"/>
        <family val="2"/>
        <scheme val="minor"/>
      </rPr>
      <t>.</t>
    </r>
  </si>
  <si>
    <r>
      <t xml:space="preserve">Hussein, M. T. (1982). Evaluation of groundwater resources in tokar delta, sudan. </t>
    </r>
    <r>
      <rPr>
        <i/>
        <sz val="11"/>
        <color theme="1"/>
        <rFont val="Calibri"/>
        <family val="2"/>
        <scheme val="minor"/>
      </rPr>
      <t>Hydrological Sciences Journal</t>
    </r>
    <r>
      <rPr>
        <sz val="11"/>
        <color theme="1"/>
        <rFont val="Calibri"/>
        <family val="2"/>
        <scheme val="minor"/>
      </rPr>
      <t xml:space="preserve">, </t>
    </r>
    <r>
      <rPr>
        <i/>
        <sz val="11"/>
        <color theme="1"/>
        <rFont val="Calibri"/>
        <family val="2"/>
        <scheme val="minor"/>
      </rPr>
      <t>27</t>
    </r>
    <r>
      <rPr>
        <sz val="11"/>
        <color theme="1"/>
        <rFont val="Calibri"/>
        <family val="2"/>
        <scheme val="minor"/>
      </rPr>
      <t>(2), 139–145. https://doi.org/10.1080/02626668209491096</t>
    </r>
  </si>
  <si>
    <r>
      <t xml:space="preserve">Iribar, V., Carrera, J., Custodio, E., &amp; Medina, A. (1997). Inverse modelling of seawater intrusion in the Llobregat delta deep aquifer. </t>
    </r>
    <r>
      <rPr>
        <i/>
        <sz val="11"/>
        <color theme="1"/>
        <rFont val="Calibri"/>
        <family val="2"/>
        <scheme val="minor"/>
      </rPr>
      <t>Journal of Hydrology</t>
    </r>
    <r>
      <rPr>
        <sz val="11"/>
        <color theme="1"/>
        <rFont val="Calibri"/>
        <family val="2"/>
        <scheme val="minor"/>
      </rPr>
      <t xml:space="preserve">, </t>
    </r>
    <r>
      <rPr>
        <i/>
        <sz val="11"/>
        <color theme="1"/>
        <rFont val="Calibri"/>
        <family val="2"/>
        <scheme val="minor"/>
      </rPr>
      <t>198</t>
    </r>
    <r>
      <rPr>
        <sz val="11"/>
        <color theme="1"/>
        <rFont val="Calibri"/>
        <family val="2"/>
        <scheme val="minor"/>
      </rPr>
      <t>(1–4), 226–244. https://doi.org/10.1016/S0022-1694(96)03290-8</t>
    </r>
  </si>
  <si>
    <r>
      <t xml:space="preserve">Jassim, S., &amp; Goff, J. (2006). </t>
    </r>
    <r>
      <rPr>
        <i/>
        <sz val="11"/>
        <color theme="1"/>
        <rFont val="Calibri"/>
        <family val="2"/>
        <scheme val="minor"/>
      </rPr>
      <t>Geology of Iraq</t>
    </r>
    <r>
      <rPr>
        <sz val="11"/>
        <color theme="1"/>
        <rFont val="Calibri"/>
        <family val="2"/>
        <scheme val="minor"/>
      </rPr>
      <t>. (S. Jassim &amp; J. Goff, Eds.) (1st ed.). Brno, Czech Republic: Dolin.</t>
    </r>
  </si>
  <si>
    <r>
      <t xml:space="preserve">Jaworska-Szulc, B. (2009). Groundwater flow modelling of multi-aquifer systems for regional resources evaluation: The Gdansk hydrogeological system, Poland.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17</t>
    </r>
    <r>
      <rPr>
        <sz val="11"/>
        <color theme="1"/>
        <rFont val="Calibri"/>
        <family val="2"/>
        <scheme val="minor"/>
      </rPr>
      <t>(6), 1521–1542. https://doi.org/10.1007/s10040-009-0473-8</t>
    </r>
  </si>
  <si>
    <r>
      <t xml:space="preserve">Kagabu, M., Delinom, R. M., Lubis, R. F., Shimada, J., &amp; Taniguchi, M. (2010). Groundwater Characteristics in Jakarta Area, Indonesia. </t>
    </r>
    <r>
      <rPr>
        <i/>
        <sz val="11"/>
        <color theme="1"/>
        <rFont val="Calibri"/>
        <family val="2"/>
        <scheme val="minor"/>
      </rPr>
      <t>Jurnal RISET Geologi Dan Pertambangan</t>
    </r>
    <r>
      <rPr>
        <sz val="11"/>
        <color theme="1"/>
        <rFont val="Calibri"/>
        <family val="2"/>
        <scheme val="minor"/>
      </rPr>
      <t xml:space="preserve">, </t>
    </r>
    <r>
      <rPr>
        <i/>
        <sz val="11"/>
        <color theme="1"/>
        <rFont val="Calibri"/>
        <family val="2"/>
        <scheme val="minor"/>
      </rPr>
      <t>20</t>
    </r>
    <r>
      <rPr>
        <sz val="11"/>
        <color theme="1"/>
        <rFont val="Calibri"/>
        <family val="2"/>
        <scheme val="minor"/>
      </rPr>
      <t>(2), 69. https://doi.org/10.14203/risetgeotam2010.v20.35</t>
    </r>
  </si>
  <si>
    <r>
      <t xml:space="preserve">Kozerski, B. (1983). PROBLEMS OF THE SALT WATER ORIGIN IN THE VISTULA DELTA AQUIFERS. In </t>
    </r>
    <r>
      <rPr>
        <i/>
        <sz val="11"/>
        <color theme="1"/>
        <rFont val="Calibri"/>
        <family val="2"/>
        <scheme val="minor"/>
      </rPr>
      <t>Proceedings of the 8th Salt Water Intrusion Meeting, Bari, Italy</t>
    </r>
    <r>
      <rPr>
        <sz val="11"/>
        <color theme="1"/>
        <rFont val="Calibri"/>
        <family val="2"/>
        <scheme val="minor"/>
      </rPr>
      <t xml:space="preserve"> (pp. 325–334).</t>
    </r>
  </si>
  <si>
    <r>
      <t xml:space="preserve">Kumar, B., Rao, M. S., Gupta, A. K., &amp; Purushothaman, P. (2011). Groundwater management in a coastal aquifer in Krishna River Delta , South India using isotopic approach. </t>
    </r>
    <r>
      <rPr>
        <i/>
        <sz val="11"/>
        <color theme="1"/>
        <rFont val="Calibri"/>
        <family val="2"/>
        <scheme val="minor"/>
      </rPr>
      <t>Current Science</t>
    </r>
    <r>
      <rPr>
        <sz val="11"/>
        <color theme="1"/>
        <rFont val="Calibri"/>
        <family val="2"/>
        <scheme val="minor"/>
      </rPr>
      <t xml:space="preserve">, </t>
    </r>
    <r>
      <rPr>
        <i/>
        <sz val="11"/>
        <color theme="1"/>
        <rFont val="Calibri"/>
        <family val="2"/>
        <scheme val="minor"/>
      </rPr>
      <t>100</t>
    </r>
    <r>
      <rPr>
        <sz val="11"/>
        <color theme="1"/>
        <rFont val="Calibri"/>
        <family val="2"/>
        <scheme val="minor"/>
      </rPr>
      <t>(7).</t>
    </r>
  </si>
  <si>
    <r>
      <t xml:space="preserve">Kwong, H. T., Jiao, J. J., &amp; Chan, L. S. (2016). A preliminary study on the offshore stratigraphy in Hong Kong and its hydrogeological implications. </t>
    </r>
    <r>
      <rPr>
        <i/>
        <sz val="11"/>
        <color theme="1"/>
        <rFont val="Calibri"/>
        <family val="2"/>
        <scheme val="minor"/>
      </rPr>
      <t>Environmental Earth Sciences</t>
    </r>
    <r>
      <rPr>
        <sz val="11"/>
        <color theme="1"/>
        <rFont val="Calibri"/>
        <family val="2"/>
        <scheme val="minor"/>
      </rPr>
      <t xml:space="preserve">, </t>
    </r>
    <r>
      <rPr>
        <i/>
        <sz val="11"/>
        <color theme="1"/>
        <rFont val="Calibri"/>
        <family val="2"/>
        <scheme val="minor"/>
      </rPr>
      <t>75</t>
    </r>
    <r>
      <rPr>
        <sz val="11"/>
        <color theme="1"/>
        <rFont val="Calibri"/>
        <family val="2"/>
        <scheme val="minor"/>
      </rPr>
      <t>(11), 975. https://doi.org/10.1007/s12665-016-5749-4</t>
    </r>
  </si>
  <si>
    <r>
      <t xml:space="preserve">Larsen, F., Tran, L. V., Van Hoang, H., Tran, L. T., Christiansen, A. V., &amp; Pham, N. Q. (2017). Groundwater salinity influenced by Holocene seawater trapped in incised valleys in the Red River delta plain. </t>
    </r>
    <r>
      <rPr>
        <i/>
        <sz val="11"/>
        <color theme="1"/>
        <rFont val="Calibri"/>
        <family val="2"/>
        <scheme val="minor"/>
      </rPr>
      <t>Nature Geoscience</t>
    </r>
    <r>
      <rPr>
        <sz val="11"/>
        <color theme="1"/>
        <rFont val="Calibri"/>
        <family val="2"/>
        <scheme val="minor"/>
      </rPr>
      <t xml:space="preserve">, </t>
    </r>
    <r>
      <rPr>
        <i/>
        <sz val="11"/>
        <color theme="1"/>
        <rFont val="Calibri"/>
        <family val="2"/>
        <scheme val="minor"/>
      </rPr>
      <t>10</t>
    </r>
    <r>
      <rPr>
        <sz val="11"/>
        <color theme="1"/>
        <rFont val="Calibri"/>
        <family val="2"/>
        <scheme val="minor"/>
      </rPr>
      <t>(May). https://doi.org/10.1038/ngeo2938</t>
    </r>
  </si>
  <si>
    <r>
      <t xml:space="preserve">Makowska, A. (1991). Pleistocene marine deposits and their bearing on the stratigraphy of the Yougher Pleistocene in Dolne Powisle (North Poland). </t>
    </r>
    <r>
      <rPr>
        <i/>
        <sz val="11"/>
        <color theme="1"/>
        <rFont val="Calibri"/>
        <family val="2"/>
        <scheme val="minor"/>
      </rPr>
      <t>Kwartalnik Geologiczny</t>
    </r>
    <r>
      <rPr>
        <sz val="11"/>
        <color theme="1"/>
        <rFont val="Calibri"/>
        <family val="2"/>
        <scheme val="minor"/>
      </rPr>
      <t xml:space="preserve">, </t>
    </r>
    <r>
      <rPr>
        <i/>
        <sz val="11"/>
        <color theme="1"/>
        <rFont val="Calibri"/>
        <family val="2"/>
        <scheme val="minor"/>
      </rPr>
      <t>35</t>
    </r>
    <r>
      <rPr>
        <sz val="11"/>
        <color theme="1"/>
        <rFont val="Calibri"/>
        <family val="2"/>
        <scheme val="minor"/>
      </rPr>
      <t>(1), 107–118.</t>
    </r>
  </si>
  <si>
    <r>
      <t xml:space="preserve">Manzano, M., Custodio, E., Loosli, H., Cabrera, M. C., Riera, X., &amp; Custodio, J. (2001). Palaeowater in coastal aquifers of Spain. </t>
    </r>
    <r>
      <rPr>
        <i/>
        <sz val="11"/>
        <color theme="1"/>
        <rFont val="Calibri"/>
        <family val="2"/>
        <scheme val="minor"/>
      </rPr>
      <t>Geological Society, London, Special Publications</t>
    </r>
    <r>
      <rPr>
        <sz val="11"/>
        <color theme="1"/>
        <rFont val="Calibri"/>
        <family val="2"/>
        <scheme val="minor"/>
      </rPr>
      <t xml:space="preserve">, </t>
    </r>
    <r>
      <rPr>
        <i/>
        <sz val="11"/>
        <color theme="1"/>
        <rFont val="Calibri"/>
        <family val="2"/>
        <scheme val="minor"/>
      </rPr>
      <t>189</t>
    </r>
    <r>
      <rPr>
        <sz val="11"/>
        <color theme="1"/>
        <rFont val="Calibri"/>
        <family val="2"/>
        <scheme val="minor"/>
      </rPr>
      <t>(1), 107–138. https://doi.org/10.1144/gsl.sp.2001.189.01.08</t>
    </r>
  </si>
  <si>
    <r>
      <t xml:space="preserve">Mcmahon, G. A., Arunakumaren, N. J., &amp; Bajracharya, K. (2000). Hydrogeological Conceptualisation of the Burdekin River Delta. In </t>
    </r>
    <r>
      <rPr>
        <i/>
        <sz val="11"/>
        <color theme="1"/>
        <rFont val="Calibri"/>
        <family val="2"/>
        <scheme val="minor"/>
      </rPr>
      <t>Proceedings f the 3rd international Hydrology and Water Resources Symposium of the Institution of Engineers, Perth, Western Australia, Australia</t>
    </r>
    <r>
      <rPr>
        <sz val="11"/>
        <color theme="1"/>
        <rFont val="Calibri"/>
        <family val="2"/>
        <scheme val="minor"/>
      </rPr>
      <t>.</t>
    </r>
  </si>
  <si>
    <r>
      <t xml:space="preserve">Michael, H. A., &amp; Voss, C. I. (2009). Estimation of regional-scale groundwater flow properties in the Bengal Basin of India and Bangladesh.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17</t>
    </r>
    <r>
      <rPr>
        <sz val="11"/>
        <color theme="1"/>
        <rFont val="Calibri"/>
        <family val="2"/>
        <scheme val="minor"/>
      </rPr>
      <t>(6), 1329–1346. https://doi.org/10.1007/s10040-009-0443-1</t>
    </r>
  </si>
  <si>
    <r>
      <t xml:space="preserve">Minderhoud, P. S. J., Erkens, G., Pham, V. H., Bui, V. T., Erban, L., Kooi, H., &amp; Stouthamer, E. (2017). Impacts of 25 years of groundwater extraction on subsidence in the Mekong delta, Vietnam. </t>
    </r>
    <r>
      <rPr>
        <i/>
        <sz val="11"/>
        <color theme="1"/>
        <rFont val="Calibri"/>
        <family val="2"/>
        <scheme val="minor"/>
      </rPr>
      <t>Environmental Research Letters</t>
    </r>
    <r>
      <rPr>
        <sz val="11"/>
        <color theme="1"/>
        <rFont val="Calibri"/>
        <family val="2"/>
        <scheme val="minor"/>
      </rPr>
      <t xml:space="preserve">, </t>
    </r>
    <r>
      <rPr>
        <i/>
        <sz val="11"/>
        <color theme="1"/>
        <rFont val="Calibri"/>
        <family val="2"/>
        <scheme val="minor"/>
      </rPr>
      <t>12</t>
    </r>
    <r>
      <rPr>
        <sz val="11"/>
        <color theme="1"/>
        <rFont val="Calibri"/>
        <family val="2"/>
        <scheme val="minor"/>
      </rPr>
      <t>(6), 64006. https://doi.org/doi.org/10.1088/1748-9326/aa7146</t>
    </r>
  </si>
  <si>
    <r>
      <t xml:space="preserve">de Montety, V., Radakovitch, O., Vallet-Coulomb, C., Blavoux, B., Hermitte, D., &amp; Valles, V. (2008). Origin of groundwater salinity and hydrogeochemical processes in a confined coastal aquifer: Case of the Rhône delta (Southern France). </t>
    </r>
    <r>
      <rPr>
        <i/>
        <sz val="11"/>
        <color theme="1"/>
        <rFont val="Calibri"/>
        <family val="2"/>
        <scheme val="minor"/>
      </rPr>
      <t>Applied Geochemistry</t>
    </r>
    <r>
      <rPr>
        <sz val="11"/>
        <color theme="1"/>
        <rFont val="Calibri"/>
        <family val="2"/>
        <scheme val="minor"/>
      </rPr>
      <t xml:space="preserve">, </t>
    </r>
    <r>
      <rPr>
        <i/>
        <sz val="11"/>
        <color theme="1"/>
        <rFont val="Calibri"/>
        <family val="2"/>
        <scheme val="minor"/>
      </rPr>
      <t>23</t>
    </r>
    <r>
      <rPr>
        <sz val="11"/>
        <color theme="1"/>
        <rFont val="Calibri"/>
        <family val="2"/>
        <scheme val="minor"/>
      </rPr>
      <t>(8), 2337–2349. https://doi.org/10.1016/j.apgeochem.2008.03.011</t>
    </r>
  </si>
  <si>
    <r>
      <t xml:space="preserve">Narayan, K. A., Schleeberger, C., &amp; Bristow, K. L. (2007). Modelling seawater intrusion in the Burdekin Delta Irrigation Area, North Queensland, Australia. </t>
    </r>
    <r>
      <rPr>
        <i/>
        <sz val="11"/>
        <color theme="1"/>
        <rFont val="Calibri"/>
        <family val="2"/>
        <scheme val="minor"/>
      </rPr>
      <t>Agricultural Water Management</t>
    </r>
    <r>
      <rPr>
        <sz val="11"/>
        <color theme="1"/>
        <rFont val="Calibri"/>
        <family val="2"/>
        <scheme val="minor"/>
      </rPr>
      <t xml:space="preserve">, </t>
    </r>
    <r>
      <rPr>
        <i/>
        <sz val="11"/>
        <color theme="1"/>
        <rFont val="Calibri"/>
        <family val="2"/>
        <scheme val="minor"/>
      </rPr>
      <t>89</t>
    </r>
    <r>
      <rPr>
        <sz val="11"/>
        <color theme="1"/>
        <rFont val="Calibri"/>
        <family val="2"/>
        <scheme val="minor"/>
      </rPr>
      <t>(3), 217–228. https://doi.org/10.1016/j.agwat.2007.01.008</t>
    </r>
  </si>
  <si>
    <r>
      <t xml:space="preserve">Naseem, S., Husain, V., &amp; Bano, S. (2018). Origin of Salinity and Other Constituents in Indus Deltaic Plain Groundwater, Thatta District, Pakistan. </t>
    </r>
    <r>
      <rPr>
        <i/>
        <sz val="11"/>
        <color theme="1"/>
        <rFont val="Calibri"/>
        <family val="2"/>
        <scheme val="minor"/>
      </rPr>
      <t>Journal of Coastal Research</t>
    </r>
    <r>
      <rPr>
        <sz val="11"/>
        <color theme="1"/>
        <rFont val="Calibri"/>
        <family val="2"/>
        <scheme val="minor"/>
      </rPr>
      <t xml:space="preserve">, </t>
    </r>
    <r>
      <rPr>
        <i/>
        <sz val="11"/>
        <color theme="1"/>
        <rFont val="Calibri"/>
        <family val="2"/>
        <scheme val="minor"/>
      </rPr>
      <t>344</t>
    </r>
    <r>
      <rPr>
        <sz val="11"/>
        <color theme="1"/>
        <rFont val="Calibri"/>
        <family val="2"/>
        <scheme val="minor"/>
      </rPr>
      <t>(4), 883–891. https://doi.org/10.2112/jcoastres-d-17-00052.1</t>
    </r>
  </si>
  <si>
    <r>
      <t xml:space="preserve">Nguyen, A. D., &amp; Savenije, H. H. G. (2006). Salt intrusion in multi-channel estuaries: a case study in the {Mekong} {Delta}, {Vietnam}. </t>
    </r>
    <r>
      <rPr>
        <i/>
        <sz val="11"/>
        <color theme="1"/>
        <rFont val="Calibri"/>
        <family val="2"/>
        <scheme val="minor"/>
      </rPr>
      <t>Hess</t>
    </r>
    <r>
      <rPr>
        <sz val="11"/>
        <color theme="1"/>
        <rFont val="Calibri"/>
        <family val="2"/>
        <scheme val="minor"/>
      </rPr>
      <t xml:space="preserve">, </t>
    </r>
    <r>
      <rPr>
        <i/>
        <sz val="11"/>
        <color theme="1"/>
        <rFont val="Calibri"/>
        <family val="2"/>
        <scheme val="minor"/>
      </rPr>
      <t>10</t>
    </r>
    <r>
      <rPr>
        <sz val="11"/>
        <color theme="1"/>
        <rFont val="Calibri"/>
        <family val="2"/>
        <scheme val="minor"/>
      </rPr>
      <t>, 743–754. https://doi.org/10.5194/hessd-3-499-2006</t>
    </r>
  </si>
  <si>
    <r>
      <t xml:space="preserve">Onodera, S. ichi, Saito, M., Sawano, M., Hosono, T., Taniguchi, M., Shimada, J., et al. (2009). Erratum to “Effects of intensive urbanization on the intrusion of shallow groundwater into deep groundwater: Examples from Bangkok and Jakarta” (DOI:10.1016/j.scitotenv.2008.08.003). </t>
    </r>
    <r>
      <rPr>
        <i/>
        <sz val="11"/>
        <color theme="1"/>
        <rFont val="Calibri"/>
        <family val="2"/>
        <scheme val="minor"/>
      </rPr>
      <t>Science of the Total Environment</t>
    </r>
    <r>
      <rPr>
        <sz val="11"/>
        <color theme="1"/>
        <rFont val="Calibri"/>
        <family val="2"/>
        <scheme val="minor"/>
      </rPr>
      <t xml:space="preserve">, </t>
    </r>
    <r>
      <rPr>
        <i/>
        <sz val="11"/>
        <color theme="1"/>
        <rFont val="Calibri"/>
        <family val="2"/>
        <scheme val="minor"/>
      </rPr>
      <t>407</t>
    </r>
    <r>
      <rPr>
        <sz val="11"/>
        <color theme="1"/>
        <rFont val="Calibri"/>
        <family val="2"/>
        <scheme val="minor"/>
      </rPr>
      <t>(9), 3209–3217. https://doi.org/10.1016/j.scitotenv.2009.01.049</t>
    </r>
  </si>
  <si>
    <r>
      <t xml:space="preserve">Oude Essink, G. H. P., Van Baaren, E. S., &amp; De Louw, P. G. B. (2010). Effects of climate change on coastal groundwater systems: A modeling study in the Netherlands. </t>
    </r>
    <r>
      <rPr>
        <i/>
        <sz val="11"/>
        <color theme="1"/>
        <rFont val="Calibri"/>
        <family val="2"/>
        <scheme val="minor"/>
      </rPr>
      <t>Water Resources Research</t>
    </r>
    <r>
      <rPr>
        <sz val="11"/>
        <color theme="1"/>
        <rFont val="Calibri"/>
        <family val="2"/>
        <scheme val="minor"/>
      </rPr>
      <t xml:space="preserve">, </t>
    </r>
    <r>
      <rPr>
        <i/>
        <sz val="11"/>
        <color theme="1"/>
        <rFont val="Calibri"/>
        <family val="2"/>
        <scheme val="minor"/>
      </rPr>
      <t>46</t>
    </r>
    <r>
      <rPr>
        <sz val="11"/>
        <color theme="1"/>
        <rFont val="Calibri"/>
        <family val="2"/>
        <scheme val="minor"/>
      </rPr>
      <t>(10), 1–16. https://doi.org/10.1029/2009WR008719</t>
    </r>
  </si>
  <si>
    <r>
      <t xml:space="preserve">Pennington, B. T., Sturt, F., Wilson, P., Rowland, J., &amp; Brown, A. G. (2017). The fluvial evolution of the Holocene Nile Delta.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170</t>
    </r>
    <r>
      <rPr>
        <sz val="11"/>
        <color theme="1"/>
        <rFont val="Calibri"/>
        <family val="2"/>
        <scheme val="minor"/>
      </rPr>
      <t>, 212–231. https://doi.org/10.1016/j.quascirev.2017.06.017</t>
    </r>
  </si>
  <si>
    <r>
      <t xml:space="preserve">Van Pham, H., van Geer, F. C., Tran, V. B., Dubelaar, W., &amp; Oude Essink, G. H. P. (2019). Paleo-hydrogeological reconstruction of the fresh-saline groundwater distribution in the Vietnamese Mekong Delta since the late Pleistocene. </t>
    </r>
    <r>
      <rPr>
        <i/>
        <sz val="11"/>
        <color theme="1"/>
        <rFont val="Calibri"/>
        <family val="2"/>
        <scheme val="minor"/>
      </rPr>
      <t>Journal of Hydrology: Regional Studies</t>
    </r>
    <r>
      <rPr>
        <sz val="11"/>
        <color theme="1"/>
        <rFont val="Calibri"/>
        <family val="2"/>
        <scheme val="minor"/>
      </rPr>
      <t xml:space="preserve">, </t>
    </r>
    <r>
      <rPr>
        <i/>
        <sz val="11"/>
        <color theme="1"/>
        <rFont val="Calibri"/>
        <family val="2"/>
        <scheme val="minor"/>
      </rPr>
      <t>23</t>
    </r>
    <r>
      <rPr>
        <sz val="11"/>
        <color theme="1"/>
        <rFont val="Calibri"/>
        <family val="2"/>
        <scheme val="minor"/>
      </rPr>
      <t>, 22.</t>
    </r>
  </si>
  <si>
    <r>
      <t xml:space="preserve">Prabaharan, S., Lakshumanan, C., &amp; Subramani, T. (2018). Geomorphic Anomalies and Natural Resource of Krishna Godavari Basin Using Remote Sensing Techniques. </t>
    </r>
    <r>
      <rPr>
        <i/>
        <sz val="11"/>
        <color theme="1"/>
        <rFont val="Calibri"/>
        <family val="2"/>
        <scheme val="minor"/>
      </rPr>
      <t>International Journal of Earth Sciences and Engineering</t>
    </r>
    <r>
      <rPr>
        <sz val="11"/>
        <color theme="1"/>
        <rFont val="Calibri"/>
        <family val="2"/>
        <scheme val="minor"/>
      </rPr>
      <t xml:space="preserve">, </t>
    </r>
    <r>
      <rPr>
        <i/>
        <sz val="11"/>
        <color theme="1"/>
        <rFont val="Calibri"/>
        <family val="2"/>
        <scheme val="minor"/>
      </rPr>
      <t>11</t>
    </r>
    <r>
      <rPr>
        <sz val="11"/>
        <color theme="1"/>
        <rFont val="Calibri"/>
        <family val="2"/>
        <scheme val="minor"/>
      </rPr>
      <t>(01), 35–40. https://doi.org/10.21276/ijee.2018.11.0106</t>
    </r>
  </si>
  <si>
    <r>
      <t xml:space="preserve">Ricketts, B. D. (1998). Geological setting of the Fraser River delta. In J. J. Clague, J. L. Luternauer, &amp; D. C. Mosher (Eds.), </t>
    </r>
    <r>
      <rPr>
        <i/>
        <sz val="11"/>
        <color theme="1"/>
        <rFont val="Calibri"/>
        <family val="2"/>
        <scheme val="minor"/>
      </rPr>
      <t>Geology and Natural Hazards of the Fraser River Delta, British Columbia</t>
    </r>
    <r>
      <rPr>
        <sz val="11"/>
        <color theme="1"/>
        <rFont val="Calibri"/>
        <family val="2"/>
        <scheme val="minor"/>
      </rPr>
      <t xml:space="preserve"> (pp. 7–16). Bulletin of the Geological Survey of Canada.</t>
    </r>
  </si>
  <si>
    <r>
      <t xml:space="preserve">Sahoo, S., &amp; Jha, M. K. (2017). Numerical groundwater-flow modeling to evaluate potential effects of pumping and recharge: implications for sustainable groundwater management in the Mahanadi delta region, IndiaModélisation numérique des écoulements d’eau souterraine pour évaluer les eff.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25</t>
    </r>
    <r>
      <rPr>
        <sz val="11"/>
        <color theme="1"/>
        <rFont val="Calibri"/>
        <family val="2"/>
        <scheme val="minor"/>
      </rPr>
      <t>(8), 2489–2511. https://doi.org/10.1007/s10040-017-1610-4</t>
    </r>
  </si>
  <si>
    <r>
      <t xml:space="preserve">Saito, Y., Yang, Z., &amp; Hori, K. (2001). The Huanghe Yellow River and Changjiang Yangtze River deltas: a review on their characteristics, evolution and sediment discharge during the Holocene. </t>
    </r>
    <r>
      <rPr>
        <i/>
        <sz val="11"/>
        <color theme="1"/>
        <rFont val="Calibri"/>
        <family val="2"/>
        <scheme val="minor"/>
      </rPr>
      <t>Geomorphology</t>
    </r>
    <r>
      <rPr>
        <sz val="11"/>
        <color theme="1"/>
        <rFont val="Calibri"/>
        <family val="2"/>
        <scheme val="minor"/>
      </rPr>
      <t xml:space="preserve">, </t>
    </r>
    <r>
      <rPr>
        <i/>
        <sz val="11"/>
        <color theme="1"/>
        <rFont val="Calibri"/>
        <family val="2"/>
        <scheme val="minor"/>
      </rPr>
      <t>41</t>
    </r>
    <r>
      <rPr>
        <sz val="11"/>
        <color theme="1"/>
        <rFont val="Calibri"/>
        <family val="2"/>
        <scheme val="minor"/>
      </rPr>
      <t>, 219–231.</t>
    </r>
  </si>
  <si>
    <r>
      <t xml:space="preserve">Samsudin, A. R., Haryono, A., Hamzah, U., &amp; Rafek, A. G. (2008). Salinity mapping of coastal groundwater aquifers using hydrogeochemical and geophysical methods: A case study from north Kelantan, Malaysia. </t>
    </r>
    <r>
      <rPr>
        <i/>
        <sz val="11"/>
        <color theme="1"/>
        <rFont val="Calibri"/>
        <family val="2"/>
        <scheme val="minor"/>
      </rPr>
      <t>Environmental Geology</t>
    </r>
    <r>
      <rPr>
        <sz val="11"/>
        <color theme="1"/>
        <rFont val="Calibri"/>
        <family val="2"/>
        <scheme val="minor"/>
      </rPr>
      <t xml:space="preserve">, </t>
    </r>
    <r>
      <rPr>
        <i/>
        <sz val="11"/>
        <color theme="1"/>
        <rFont val="Calibri"/>
        <family val="2"/>
        <scheme val="minor"/>
      </rPr>
      <t>55</t>
    </r>
    <r>
      <rPr>
        <sz val="11"/>
        <color theme="1"/>
        <rFont val="Calibri"/>
        <family val="2"/>
        <scheme val="minor"/>
      </rPr>
      <t>(8), 1737–1743. https://doi.org/10.1007/s00254-007-1124-9</t>
    </r>
  </si>
  <si>
    <r>
      <t xml:space="preserve">Samsudin, Abdul Rahim, Hamzah, U., &amp; Rafek, G. (1997). Salinity study of coastal groundwater aquifers in north Kelantan , Malaysia. </t>
    </r>
    <r>
      <rPr>
        <i/>
        <sz val="11"/>
        <color theme="1"/>
        <rFont val="Calibri"/>
        <family val="2"/>
        <scheme val="minor"/>
      </rPr>
      <t>Abbual Geological Conference ’97</t>
    </r>
    <r>
      <rPr>
        <sz val="11"/>
        <color theme="1"/>
        <rFont val="Calibri"/>
        <family val="2"/>
        <scheme val="minor"/>
      </rPr>
      <t>.</t>
    </r>
  </si>
  <si>
    <r>
      <t xml:space="preserve">Sanford, W. E., &amp; Buapeng, S. (1996). Assessment of a groundwater flow model of the bangkok basin, Thailand.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4</t>
    </r>
    <r>
      <rPr>
        <sz val="11"/>
        <color theme="1"/>
        <rFont val="Calibri"/>
        <family val="2"/>
        <scheme val="minor"/>
      </rPr>
      <t>(4).</t>
    </r>
  </si>
  <si>
    <r>
      <t xml:space="preserve">Savenije, H. H. G. (2012). </t>
    </r>
    <r>
      <rPr>
        <i/>
        <sz val="11"/>
        <color theme="1"/>
        <rFont val="Calibri"/>
        <family val="2"/>
        <scheme val="minor"/>
      </rPr>
      <t>Salinity and tides in alluvial estuaries</t>
    </r>
    <r>
      <rPr>
        <sz val="11"/>
        <color theme="1"/>
        <rFont val="Calibri"/>
        <family val="2"/>
        <scheme val="minor"/>
      </rPr>
      <t xml:space="preserve">. </t>
    </r>
    <r>
      <rPr>
        <i/>
        <sz val="11"/>
        <color theme="1"/>
        <rFont val="Calibri"/>
        <family val="2"/>
        <scheme val="minor"/>
      </rPr>
      <t>Open Access</t>
    </r>
    <r>
      <rPr>
        <sz val="11"/>
        <color theme="1"/>
        <rFont val="Calibri"/>
        <family val="2"/>
        <scheme val="minor"/>
      </rPr>
      <t>. https://doi.org/http://dx.doi.org/10.1016/B978-044452107-1/50006-X</t>
    </r>
  </si>
  <si>
    <r>
      <t xml:space="preserve">Sestini, G. (1989). Nile Delta: a review of depositional environments and geological history. </t>
    </r>
    <r>
      <rPr>
        <i/>
        <sz val="11"/>
        <color theme="1"/>
        <rFont val="Calibri"/>
        <family val="2"/>
        <scheme val="minor"/>
      </rPr>
      <t>Geological Society, London, Special Publications</t>
    </r>
    <r>
      <rPr>
        <sz val="11"/>
        <color theme="1"/>
        <rFont val="Calibri"/>
        <family val="2"/>
        <scheme val="minor"/>
      </rPr>
      <t xml:space="preserve">, </t>
    </r>
    <r>
      <rPr>
        <i/>
        <sz val="11"/>
        <color theme="1"/>
        <rFont val="Calibri"/>
        <family val="2"/>
        <scheme val="minor"/>
      </rPr>
      <t>41</t>
    </r>
    <r>
      <rPr>
        <sz val="11"/>
        <color theme="1"/>
        <rFont val="Calibri"/>
        <family val="2"/>
        <scheme val="minor"/>
      </rPr>
      <t>(1), 99–127. https://doi.org/10.1144/GSL.SP.1989.041.01.09</t>
    </r>
  </si>
  <si>
    <r>
      <t xml:space="preserve">Shi, X., Fang, R., Wu, J., Xu, H., Sun, Y. Y., &amp; Yu, J. (2012). Sustainable development and utilization of groundwater resources considering land subsidence in Suzhou, China. </t>
    </r>
    <r>
      <rPr>
        <i/>
        <sz val="11"/>
        <color theme="1"/>
        <rFont val="Calibri"/>
        <family val="2"/>
        <scheme val="minor"/>
      </rPr>
      <t>Engineering Geology</t>
    </r>
    <r>
      <rPr>
        <sz val="11"/>
        <color theme="1"/>
        <rFont val="Calibri"/>
        <family val="2"/>
        <scheme val="minor"/>
      </rPr>
      <t xml:space="preserve">, </t>
    </r>
    <r>
      <rPr>
        <i/>
        <sz val="11"/>
        <color theme="1"/>
        <rFont val="Calibri"/>
        <family val="2"/>
        <scheme val="minor"/>
      </rPr>
      <t>124</t>
    </r>
    <r>
      <rPr>
        <sz val="11"/>
        <color theme="1"/>
        <rFont val="Calibri"/>
        <family val="2"/>
        <scheme val="minor"/>
      </rPr>
      <t>(1), 77–89. https://doi.org/10.1016/j.enggeo.2011.10.005</t>
    </r>
  </si>
  <si>
    <r>
      <t xml:space="preserve">Sinsakul, S. (2000). Late Quaternary geology of the Lower Central Plain, Thailand. </t>
    </r>
    <r>
      <rPr>
        <i/>
        <sz val="11"/>
        <color theme="1"/>
        <rFont val="Calibri"/>
        <family val="2"/>
        <scheme val="minor"/>
      </rPr>
      <t>Journal of Asian Earth Sciences</t>
    </r>
    <r>
      <rPr>
        <sz val="11"/>
        <color theme="1"/>
        <rFont val="Calibri"/>
        <family val="2"/>
        <scheme val="minor"/>
      </rPr>
      <t xml:space="preserve">, </t>
    </r>
    <r>
      <rPr>
        <i/>
        <sz val="11"/>
        <color theme="1"/>
        <rFont val="Calibri"/>
        <family val="2"/>
        <scheme val="minor"/>
      </rPr>
      <t>18</t>
    </r>
    <r>
      <rPr>
        <sz val="11"/>
        <color theme="1"/>
        <rFont val="Calibri"/>
        <family val="2"/>
        <scheme val="minor"/>
      </rPr>
      <t>(4), 415–426. https://doi.org/10.1016/S1367-9120(99)00075-9</t>
    </r>
  </si>
  <si>
    <r>
      <t xml:space="preserve">Stanley, D. J., &amp; Warne, A. G. (1993). Nile Delta: Recent Geological Evolution and Human Impact. </t>
    </r>
    <r>
      <rPr>
        <i/>
        <sz val="11"/>
        <color theme="1"/>
        <rFont val="Calibri"/>
        <family val="2"/>
        <scheme val="minor"/>
      </rPr>
      <t>Science</t>
    </r>
    <r>
      <rPr>
        <sz val="11"/>
        <color theme="1"/>
        <rFont val="Calibri"/>
        <family val="2"/>
        <scheme val="minor"/>
      </rPr>
      <t xml:space="preserve">, </t>
    </r>
    <r>
      <rPr>
        <i/>
        <sz val="11"/>
        <color theme="1"/>
        <rFont val="Calibri"/>
        <family val="2"/>
        <scheme val="minor"/>
      </rPr>
      <t>260</t>
    </r>
    <r>
      <rPr>
        <sz val="11"/>
        <color theme="1"/>
        <rFont val="Calibri"/>
        <family val="2"/>
        <scheme val="minor"/>
      </rPr>
      <t>(5108), 628–634. https://doi.org/10.1126/science.260.5108.628</t>
    </r>
  </si>
  <si>
    <r>
      <t xml:space="preserve">Szpakowski, W. (2007). Numerical simulation of the Quaternary Aquifer groundwater flow of Northern Vistula delta plain. </t>
    </r>
    <r>
      <rPr>
        <i/>
        <sz val="11"/>
        <color theme="1"/>
        <rFont val="Calibri"/>
        <family val="2"/>
        <scheme val="minor"/>
      </rPr>
      <t>TASK Quarterly</t>
    </r>
    <r>
      <rPr>
        <sz val="11"/>
        <color theme="1"/>
        <rFont val="Calibri"/>
        <family val="2"/>
        <scheme val="minor"/>
      </rPr>
      <t xml:space="preserve">, </t>
    </r>
    <r>
      <rPr>
        <i/>
        <sz val="11"/>
        <color theme="1"/>
        <rFont val="Calibri"/>
        <family val="2"/>
        <scheme val="minor"/>
      </rPr>
      <t>11</t>
    </r>
    <r>
      <rPr>
        <sz val="11"/>
        <color theme="1"/>
        <rFont val="Calibri"/>
        <family val="2"/>
        <scheme val="minor"/>
      </rPr>
      <t>(4), 411–424.</t>
    </r>
  </si>
  <si>
    <r>
      <t xml:space="preserve">Tamura, T., Saito, Y., Sieng, S., Ben, B., Kong, M., Sim, I., et al. (2009). Initiation of the Mekong River delta at 8 ka: evidence from the sedimentary succession in the Cambodian lowland.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28</t>
    </r>
    <r>
      <rPr>
        <sz val="11"/>
        <color theme="1"/>
        <rFont val="Calibri"/>
        <family val="2"/>
        <scheme val="minor"/>
      </rPr>
      <t>(3–4), 327–344. https://doi.org/10.1016/j.quascirev.2008.10.010</t>
    </r>
  </si>
  <si>
    <r>
      <t xml:space="preserve">Teatini, P., Castelletto, N., Ferronato, M., Gambolati, G., &amp; Tosi, L. (2011). A new hydrogeologic model to predict anthropogenic uplift of Venice. </t>
    </r>
    <r>
      <rPr>
        <i/>
        <sz val="11"/>
        <color theme="1"/>
        <rFont val="Calibri"/>
        <family val="2"/>
        <scheme val="minor"/>
      </rPr>
      <t>Water Resources Research</t>
    </r>
    <r>
      <rPr>
        <sz val="11"/>
        <color theme="1"/>
        <rFont val="Calibri"/>
        <family val="2"/>
        <scheme val="minor"/>
      </rPr>
      <t xml:space="preserve">, </t>
    </r>
    <r>
      <rPr>
        <i/>
        <sz val="11"/>
        <color theme="1"/>
        <rFont val="Calibri"/>
        <family val="2"/>
        <scheme val="minor"/>
      </rPr>
      <t>47</t>
    </r>
    <r>
      <rPr>
        <sz val="11"/>
        <color theme="1"/>
        <rFont val="Calibri"/>
        <family val="2"/>
        <scheme val="minor"/>
      </rPr>
      <t>(12), 1–17. https://doi.org/10.1029/2011WR010900</t>
    </r>
  </si>
  <si>
    <r>
      <t xml:space="preserve">Thompson, C., Smith, L., &amp; Maji, R. (2007). Hydrogeological modeling of submarine groundwater discharge on the continental shelf of Louisiana. </t>
    </r>
    <r>
      <rPr>
        <i/>
        <sz val="11"/>
        <color theme="1"/>
        <rFont val="Calibri"/>
        <family val="2"/>
        <scheme val="minor"/>
      </rPr>
      <t>Journal of Geophysical Research: Oceans</t>
    </r>
    <r>
      <rPr>
        <sz val="11"/>
        <color theme="1"/>
        <rFont val="Calibri"/>
        <family val="2"/>
        <scheme val="minor"/>
      </rPr>
      <t xml:space="preserve">, </t>
    </r>
    <r>
      <rPr>
        <i/>
        <sz val="11"/>
        <color theme="1"/>
        <rFont val="Calibri"/>
        <family val="2"/>
        <scheme val="minor"/>
      </rPr>
      <t>112</t>
    </r>
    <r>
      <rPr>
        <sz val="11"/>
        <color theme="1"/>
        <rFont val="Calibri"/>
        <family val="2"/>
        <scheme val="minor"/>
      </rPr>
      <t>(3), 1–13. https://doi.org/10.1029/2006JC003557</t>
    </r>
  </si>
  <si>
    <r>
      <t xml:space="preserve">UN-ESCWA, &amp; BGR. (2013). Neogene Aquifer System Dibdibba-Kuwait Group (South-East): Dibdibba Delta Basin. </t>
    </r>
    <r>
      <rPr>
        <i/>
        <sz val="11"/>
        <color theme="1"/>
        <rFont val="Calibri"/>
        <family val="2"/>
        <scheme val="minor"/>
      </rPr>
      <t>Inventory of Shared Water Resources in Western Asia</t>
    </r>
    <r>
      <rPr>
        <sz val="11"/>
        <color theme="1"/>
        <rFont val="Calibri"/>
        <family val="2"/>
        <scheme val="minor"/>
      </rPr>
      <t>.</t>
    </r>
  </si>
  <si>
    <r>
      <t xml:space="preserve">Viossanges, M., Johnston, R., &amp; Drury, L. (2017). </t>
    </r>
    <r>
      <rPr>
        <i/>
        <sz val="11"/>
        <color theme="1"/>
        <rFont val="Calibri"/>
        <family val="2"/>
        <scheme val="minor"/>
      </rPr>
      <t>SOBA 2A: Groundwater Resources</t>
    </r>
    <r>
      <rPr>
        <sz val="11"/>
        <color theme="1"/>
        <rFont val="Calibri"/>
        <family val="2"/>
        <scheme val="minor"/>
      </rPr>
      <t xml:space="preserve">. </t>
    </r>
    <r>
      <rPr>
        <i/>
        <sz val="11"/>
        <color theme="1"/>
        <rFont val="Calibri"/>
        <family val="2"/>
        <scheme val="minor"/>
      </rPr>
      <t>AYEYARWADY STATE OF THE BASIN ASSESSMENT (SOBA)</t>
    </r>
    <r>
      <rPr>
        <sz val="11"/>
        <color theme="1"/>
        <rFont val="Calibri"/>
        <family val="2"/>
        <scheme val="minor"/>
      </rPr>
      <t xml:space="preserve"> (Vol. 2). https://doi.org/10.1016/S0167-5648(08)70868-2</t>
    </r>
  </si>
  <si>
    <r>
      <t xml:space="preserve">Wang, Y., &amp; Jiao, J. J. (2012). Origin of groundwater salinity and hydrogeochemical processes in the confined Quaternary aquifer of the Pearl River Delta, China. </t>
    </r>
    <r>
      <rPr>
        <i/>
        <sz val="11"/>
        <color theme="1"/>
        <rFont val="Calibri"/>
        <family val="2"/>
        <scheme val="minor"/>
      </rPr>
      <t>Journal of Hydrology</t>
    </r>
    <r>
      <rPr>
        <sz val="11"/>
        <color theme="1"/>
        <rFont val="Calibri"/>
        <family val="2"/>
        <scheme val="minor"/>
      </rPr>
      <t xml:space="preserve">, </t>
    </r>
    <r>
      <rPr>
        <i/>
        <sz val="11"/>
        <color theme="1"/>
        <rFont val="Calibri"/>
        <family val="2"/>
        <scheme val="minor"/>
      </rPr>
      <t>438</t>
    </r>
    <r>
      <rPr>
        <sz val="11"/>
        <color theme="1"/>
        <rFont val="Calibri"/>
        <family val="2"/>
        <scheme val="minor"/>
      </rPr>
      <t>–</t>
    </r>
    <r>
      <rPr>
        <i/>
        <sz val="11"/>
        <color theme="1"/>
        <rFont val="Calibri"/>
        <family val="2"/>
        <scheme val="minor"/>
      </rPr>
      <t>439</t>
    </r>
    <r>
      <rPr>
        <sz val="11"/>
        <color theme="1"/>
        <rFont val="Calibri"/>
        <family val="2"/>
        <scheme val="minor"/>
      </rPr>
      <t>, 112–124. https://doi.org/10.1016/j.jhydrol.2012.03.008</t>
    </r>
  </si>
  <si>
    <r>
      <t xml:space="preserve">Winkel, L. H. E., Pham, T. K. T., Vi, M. L., Stengel, C., Amini, M., Nguyen, T. H., et al. (2011). Arsenic pollution of groundwater in Vietnam exacerbated by deep aquifer exploitation for more than a century. </t>
    </r>
    <r>
      <rPr>
        <i/>
        <sz val="11"/>
        <color theme="1"/>
        <rFont val="Calibri"/>
        <family val="2"/>
        <scheme val="minor"/>
      </rPr>
      <t>Proceedings of the National Academy of Sciences of the United States of America</t>
    </r>
    <r>
      <rPr>
        <sz val="11"/>
        <color theme="1"/>
        <rFont val="Calibri"/>
        <family val="2"/>
        <scheme val="minor"/>
      </rPr>
      <t xml:space="preserve">, </t>
    </r>
    <r>
      <rPr>
        <i/>
        <sz val="11"/>
        <color theme="1"/>
        <rFont val="Calibri"/>
        <family val="2"/>
        <scheme val="minor"/>
      </rPr>
      <t>108</t>
    </r>
    <r>
      <rPr>
        <sz val="11"/>
        <color theme="1"/>
        <rFont val="Calibri"/>
        <family val="2"/>
        <scheme val="minor"/>
      </rPr>
      <t>(4), 1246–1251. https://doi.org/10.1073/pnas.1011915108</t>
    </r>
  </si>
  <si>
    <r>
      <t xml:space="preserve">Xue, Y. Q., Wu, J. C., Zhang, Y., Ye, S. J., Shi, X. Q., Wei, Z. X., et al. (2008). Simulation of regional land subsidence in the southern Yangtze Delta. </t>
    </r>
    <r>
      <rPr>
        <i/>
        <sz val="11"/>
        <color theme="1"/>
        <rFont val="Calibri"/>
        <family val="2"/>
        <scheme val="minor"/>
      </rPr>
      <t>Science in China, Series D: Earth Sciences</t>
    </r>
    <r>
      <rPr>
        <sz val="11"/>
        <color theme="1"/>
        <rFont val="Calibri"/>
        <family val="2"/>
        <scheme val="minor"/>
      </rPr>
      <t xml:space="preserve">, </t>
    </r>
    <r>
      <rPr>
        <i/>
        <sz val="11"/>
        <color theme="1"/>
        <rFont val="Calibri"/>
        <family val="2"/>
        <scheme val="minor"/>
      </rPr>
      <t>51</t>
    </r>
    <r>
      <rPr>
        <sz val="11"/>
        <color theme="1"/>
        <rFont val="Calibri"/>
        <family val="2"/>
        <scheme val="minor"/>
      </rPr>
      <t>(6), 808–825. https://doi.org/10.1007/s11430-008-0062-z</t>
    </r>
  </si>
  <si>
    <r>
      <t xml:space="preserve">Yidana, S. M., &amp; Chegbeleh, L. P. (2013). The hydraulic conductivity field and groundwater flow in the unconfined aquifer system of the Keta Strip, Ghana. </t>
    </r>
    <r>
      <rPr>
        <i/>
        <sz val="11"/>
        <color theme="1"/>
        <rFont val="Calibri"/>
        <family val="2"/>
        <scheme val="minor"/>
      </rPr>
      <t>Journal of African Earth Sciences</t>
    </r>
    <r>
      <rPr>
        <sz val="11"/>
        <color theme="1"/>
        <rFont val="Calibri"/>
        <family val="2"/>
        <scheme val="minor"/>
      </rPr>
      <t xml:space="preserve">, </t>
    </r>
    <r>
      <rPr>
        <i/>
        <sz val="11"/>
        <color theme="1"/>
        <rFont val="Calibri"/>
        <family val="2"/>
        <scheme val="minor"/>
      </rPr>
      <t>86</t>
    </r>
    <r>
      <rPr>
        <sz val="11"/>
        <color theme="1"/>
        <rFont val="Calibri"/>
        <family val="2"/>
        <scheme val="minor"/>
      </rPr>
      <t>, 45–52. https://doi.org/10.1016/j.jafrearsci.2013.06.009</t>
    </r>
  </si>
  <si>
    <r>
      <t xml:space="preserve">Yoo, D.-G., Lee, G.-S., Kang, N.-K., Yi, B.-Y., Kong, G.-S., Kim, G.-Y., et al. (2017). Stratigraphy and depositional history of Nakdong River Delta. </t>
    </r>
    <r>
      <rPr>
        <i/>
        <sz val="11"/>
        <color theme="1"/>
        <rFont val="Calibri"/>
        <family val="2"/>
        <scheme val="minor"/>
      </rPr>
      <t>Journal of the Geological Society of Korea</t>
    </r>
    <r>
      <rPr>
        <sz val="11"/>
        <color theme="1"/>
        <rFont val="Calibri"/>
        <family val="2"/>
        <scheme val="minor"/>
      </rPr>
      <t xml:space="preserve">, </t>
    </r>
    <r>
      <rPr>
        <i/>
        <sz val="11"/>
        <color theme="1"/>
        <rFont val="Calibri"/>
        <family val="2"/>
        <scheme val="minor"/>
      </rPr>
      <t>53</t>
    </r>
    <r>
      <rPr>
        <sz val="11"/>
        <color theme="1"/>
        <rFont val="Calibri"/>
        <family val="2"/>
        <scheme val="minor"/>
      </rPr>
      <t>(5), 619–630. https://doi.org/10.14770/jgsk.2017.53.5.619</t>
    </r>
  </si>
  <si>
    <r>
      <t xml:space="preserve">Zong, Y., Huang, G., Switzer, A. D., Yu, F., &amp; Yim, W. W. S. (2009). An evolutionary model for the Holocene formation of the Pearl River delta, China. </t>
    </r>
    <r>
      <rPr>
        <i/>
        <sz val="11"/>
        <color theme="1"/>
        <rFont val="Calibri"/>
        <family val="2"/>
        <scheme val="minor"/>
      </rPr>
      <t>Holocene</t>
    </r>
    <r>
      <rPr>
        <sz val="11"/>
        <color theme="1"/>
        <rFont val="Calibri"/>
        <family val="2"/>
        <scheme val="minor"/>
      </rPr>
      <t xml:space="preserve">, </t>
    </r>
    <r>
      <rPr>
        <i/>
        <sz val="11"/>
        <color theme="1"/>
        <rFont val="Calibri"/>
        <family val="2"/>
        <scheme val="minor"/>
      </rPr>
      <t>19</t>
    </r>
    <r>
      <rPr>
        <sz val="11"/>
        <color theme="1"/>
        <rFont val="Calibri"/>
        <family val="2"/>
        <scheme val="minor"/>
      </rPr>
      <t>(1), 129–142. https://doi.org/10.1177/0959683608098957</t>
    </r>
  </si>
  <si>
    <r>
      <t xml:space="preserve">Zong, Yongqiang, Huang, K., Yu, F., Zheng, Z., Switzer, A., Huang, G., et al. (2012). The role of sea-level rise, monsoonal discharge and the palaeo-landscape in the early Holocene evolution of the Pearl River delta, southern China.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54</t>
    </r>
    <r>
      <rPr>
        <sz val="11"/>
        <color theme="1"/>
        <rFont val="Calibri"/>
        <family val="2"/>
        <scheme val="minor"/>
      </rPr>
      <t>, 77–88. https://doi.org/10.1016/j.quascirev.2012.01.002</t>
    </r>
  </si>
  <si>
    <t>(Hehanussa, 1980; Kloosterman, 1989)</t>
  </si>
  <si>
    <t>(Clague et al., 1983)</t>
  </si>
  <si>
    <t>(Lafuerza et al., 2005)</t>
  </si>
  <si>
    <t>(Mahalik et al., 1996)</t>
  </si>
  <si>
    <t>(Coleman et al., 1998)</t>
  </si>
  <si>
    <t>Deposited as lobes, not constant marine regression</t>
  </si>
  <si>
    <t>Incomati</t>
  </si>
  <si>
    <t>Mozambique</t>
  </si>
  <si>
    <t>No Holocene transgression, but relict salt of earlier transgressions found</t>
  </si>
  <si>
    <t>(Nienhuis et al., 2020)</t>
  </si>
  <si>
    <t>Tidal factor above 1, but L low (0.4 km)</t>
  </si>
  <si>
    <t>(Peelen, 1970)</t>
  </si>
  <si>
    <t>Taken situation before Deltaworks, salt up to Den Bommel</t>
  </si>
  <si>
    <t>(Zhang et al., 2013)</t>
  </si>
  <si>
    <t>2001 maximum 0.5 ppt isohaline taken, least human influence but it is there</t>
  </si>
  <si>
    <t>(Ca et al., 1994)</t>
  </si>
  <si>
    <t>30-year average 1 ppt isohaline taken</t>
  </si>
  <si>
    <t>40 km need Geometry</t>
  </si>
  <si>
    <t>During drought 2006 up to 90 km, heavily engineered delta (Dai, 2011)</t>
  </si>
  <si>
    <t>(Wu &amp; Zhu, 2011)</t>
  </si>
  <si>
    <t>No reports found, according to Nienhuis should be effects</t>
  </si>
  <si>
    <t>(Chakrapani &amp; Subramanian, 1999)</t>
  </si>
  <si>
    <t>(Gampson et al. 2014)</t>
  </si>
  <si>
    <t>(Brandimarte et al., 2019)</t>
  </si>
  <si>
    <t xml:space="preserve">Wet conditions taken, as climate was wetter in the past here. Still intrusion length of 120 km </t>
  </si>
  <si>
    <t>(Hedley et al., 2010)</t>
  </si>
  <si>
    <t>(Ijaz et al., 2019)</t>
  </si>
  <si>
    <t>58 km under dry conditions, 35 km under wetter conditions</t>
  </si>
  <si>
    <t xml:space="preserve">Taken Benin Formation here, weird: decreases in thickness towards the coast. Tectonics play a strong role here </t>
  </si>
  <si>
    <t>(Zamrsky et al. 2018)</t>
  </si>
  <si>
    <t>(Naseem et al., 2018; Zamrsky et al., 2018)</t>
  </si>
  <si>
    <t>Anchor point at apex delta</t>
  </si>
  <si>
    <t>W_a</t>
  </si>
  <si>
    <t>(Casillas-Trasvina et al., 2019)</t>
  </si>
  <si>
    <t>(Schmidt et al., 1989)</t>
  </si>
  <si>
    <t>(ka)</t>
  </si>
  <si>
    <t>Ayeyarwady</t>
  </si>
  <si>
    <t>(Kashef, 1983)</t>
  </si>
  <si>
    <t>riv_c_max</t>
  </si>
  <si>
    <t>riv_c_min</t>
  </si>
  <si>
    <t>Shatt al-Arab</t>
  </si>
  <si>
    <t>(Sefie et al., 2018)</t>
  </si>
  <si>
    <t>(Cearreta et al., 2016)</t>
  </si>
  <si>
    <t>(Rodríguez-Ramírez et al., 1996)</t>
  </si>
  <si>
    <t>(Tilmans, 1991)</t>
  </si>
  <si>
    <t>Could find nothing on this, tidal range in Nienhuis also low (max 8km)</t>
  </si>
  <si>
    <t>(Anthony, 1995)</t>
  </si>
  <si>
    <t>(Allen, 1964);(Anthony, 1995)</t>
  </si>
  <si>
    <t>(Noguiera et al., 2019)</t>
  </si>
  <si>
    <t>Inferred from location old beach ridges</t>
  </si>
  <si>
    <t>Global Dataset</t>
  </si>
  <si>
    <t>GLHYMPS2.0</t>
  </si>
  <si>
    <t>(Allen, 1965; Amajor, 1991)</t>
  </si>
  <si>
    <t>Mimic clay intercalations with paleochannels</t>
  </si>
  <si>
    <t>2 in the first 200 m, extrapolated (Amajor, 1991)</t>
  </si>
  <si>
    <t>(Elkrail &amp; Obied, 2013)</t>
  </si>
  <si>
    <t>Taken values of Krishna, since very similar system</t>
  </si>
  <si>
    <t>No Data found, estimated from TDS map Hussein et al.</t>
  </si>
  <si>
    <t>A lot of small paleochannels occur, but only a few fully penetrating the holocene clay cap</t>
  </si>
  <si>
    <t>(d)</t>
  </si>
  <si>
    <t>Calibrated, Regional model. Provided riverbed conductivity but no riverbed thickness. Assumed 0.5 m. Range for lakebed hydraulic conductivity given 1.2e-4 - 2.3e-3 m/d</t>
  </si>
  <si>
    <t>(Shamsuddin et al., 2018)</t>
  </si>
  <si>
    <t>Not from Kelantan delta, but from area with a similar climate in Malaysia, Muda river. Assumed 0.5 m riverbed thickness</t>
  </si>
  <si>
    <t>(de Lange et al., 2014)</t>
  </si>
  <si>
    <t>Values taken from NHI dataportal. Riverbed resistance taken from "Hoofdsysteem 2", since this layer represents the natural rivers. Recharge taken from the Veluwe area, as this is the main infiltration zone.</t>
  </si>
  <si>
    <t>No data in Nienhuis, but Tidal factor very low other side of the Red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</si>
</sst>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2" fontId="0" fillId="0" borderId="0" xfId="0" applyNumberFormat="1"/>
    <xf numFmtId="11" fontId="0" fillId="0" borderId="0" xfId="0" applyNumberFormat="1"/>
    <xf numFmtId="0" fontId="0" fillId="0" borderId="0" xfId="0" applyNumberFormat="1"/>
    <xf numFmtId="11" fontId="1" fillId="0" borderId="0" xfId="0" applyNumberFormat="1" applyFont="1"/>
    <xf numFmtId="2" fontId="1" fillId="0" borderId="0" xfId="0" applyNumberFormat="1" applyFont="1"/>
    <xf numFmtId="0" fontId="0" fillId="0" borderId="0" xfId="0" applyAlignment="1">
      <alignment wrapText="1"/>
    </xf>
    <xf numFmtId="1" fontId="0" fillId="0" borderId="0" xfId="0" applyNumberFormat="1"/>
    <xf numFmtId="0" fontId="0" fillId="0" borderId="0" xfId="0" applyAlignment="1">
      <alignment vertical="center"/>
    </xf>
    <xf numFmtId="0" fontId="0" fillId="0" borderId="0" xfId="0" applyAlignment="1">
      <alignment horizontal="left" vertical="center"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F585-CC39-4547-8D18-3D0396349B9E}">
  <dimension ref="A1:R34"/>
  <sheetViews>
    <sheetView workbookViewId="0">
      <pane xSplit="1" ySplit="2" topLeftCell="B3" activePane="bottomRight" state="frozen"/>
      <selection pane="topRight" activeCell="B1" sqref="B1"/>
      <selection pane="bottomLeft" activeCell="A3" sqref="A3"/>
      <selection pane="bottomRight" activeCell="N36" sqref="N36"/>
    </sheetView>
  </sheetViews>
  <sheetFormatPr defaultRowHeight="15" x14ac:dyDescent="0.25"/>
  <cols>
    <col min="1" max="1" width="20.85546875" bestFit="1" customWidth="1"/>
    <col min="2" max="2" width="15.85546875" bestFit="1" customWidth="1"/>
    <col min="10" max="12" width="9.140625" style="3"/>
    <col min="13" max="13" width="12" bestFit="1" customWidth="1"/>
  </cols>
  <sheetData>
    <row r="1" spans="1:18" x14ac:dyDescent="0.25">
      <c r="A1" s="1" t="s">
        <v>0</v>
      </c>
      <c r="B1" s="1" t="s">
        <v>1</v>
      </c>
      <c r="C1" s="1" t="s">
        <v>252</v>
      </c>
      <c r="D1" s="1" t="s">
        <v>374</v>
      </c>
      <c r="E1" s="1" t="s">
        <v>253</v>
      </c>
      <c r="F1" s="1" t="s">
        <v>234</v>
      </c>
      <c r="G1" s="1" t="s">
        <v>240</v>
      </c>
      <c r="H1" s="1" t="s">
        <v>241</v>
      </c>
      <c r="I1" s="1" t="s">
        <v>255</v>
      </c>
      <c r="J1" s="5" t="s">
        <v>245</v>
      </c>
      <c r="K1" s="5" t="s">
        <v>247</v>
      </c>
      <c r="L1" s="5" t="s">
        <v>254</v>
      </c>
      <c r="M1" s="1" t="s">
        <v>248</v>
      </c>
      <c r="N1" s="1" t="s">
        <v>250</v>
      </c>
      <c r="O1" s="1" t="s">
        <v>242</v>
      </c>
      <c r="P1" s="1" t="s">
        <v>243</v>
      </c>
      <c r="Q1" s="1" t="s">
        <v>251</v>
      </c>
      <c r="R1" s="1" t="s">
        <v>258</v>
      </c>
    </row>
    <row r="2" spans="1:18" x14ac:dyDescent="0.25">
      <c r="C2" s="1" t="s">
        <v>249</v>
      </c>
      <c r="D2" s="1" t="s">
        <v>249</v>
      </c>
      <c r="E2" s="1" t="s">
        <v>249</v>
      </c>
      <c r="F2" s="1" t="s">
        <v>249</v>
      </c>
      <c r="G2" s="1" t="s">
        <v>244</v>
      </c>
      <c r="H2" s="1" t="s">
        <v>244</v>
      </c>
      <c r="I2" s="1" t="s">
        <v>154</v>
      </c>
      <c r="J2" s="5" t="s">
        <v>246</v>
      </c>
      <c r="K2" s="5" t="s">
        <v>246</v>
      </c>
      <c r="L2" s="5" t="s">
        <v>246</v>
      </c>
      <c r="M2" s="1" t="s">
        <v>256</v>
      </c>
      <c r="N2" s="1" t="s">
        <v>154</v>
      </c>
      <c r="O2" s="1" t="s">
        <v>154</v>
      </c>
      <c r="P2" s="1" t="s">
        <v>244</v>
      </c>
    </row>
    <row r="3" spans="1:18" x14ac:dyDescent="0.25">
      <c r="A3" t="s">
        <v>2</v>
      </c>
      <c r="B3" t="s">
        <v>3</v>
      </c>
      <c r="C3">
        <v>40</v>
      </c>
      <c r="D3">
        <v>55</v>
      </c>
      <c r="E3">
        <v>800</v>
      </c>
      <c r="F3">
        <f t="shared" ref="F3:F34" si="0">C3+E3</f>
        <v>840</v>
      </c>
      <c r="G3">
        <f t="shared" ref="G3:G34" si="1">C3/F3</f>
        <v>4.7619047619047616E-2</v>
      </c>
      <c r="H3">
        <f>E3/F3</f>
        <v>0.95238095238095233</v>
      </c>
      <c r="I3">
        <v>160</v>
      </c>
      <c r="J3" s="3">
        <f>10/C3*0.001</f>
        <v>2.5000000000000001E-4</v>
      </c>
      <c r="K3" s="3">
        <f>I3/(E3*1000)</f>
        <v>2.0000000000000001E-4</v>
      </c>
      <c r="L3" s="3">
        <f>900/30000</f>
        <v>0.03</v>
      </c>
      <c r="M3" s="3">
        <f t="shared" ref="M3:M34" si="2">ATAN((D3/2)/C3)*2</f>
        <v>1.2045746922699283</v>
      </c>
      <c r="N3">
        <v>50</v>
      </c>
      <c r="O3">
        <v>250</v>
      </c>
      <c r="P3">
        <f>N3/O3</f>
        <v>0.2</v>
      </c>
      <c r="Q3" t="s">
        <v>383</v>
      </c>
    </row>
    <row r="4" spans="1:18" x14ac:dyDescent="0.25">
      <c r="A4" t="s">
        <v>5</v>
      </c>
      <c r="B4" t="s">
        <v>6</v>
      </c>
      <c r="C4">
        <v>140</v>
      </c>
      <c r="D4">
        <v>125</v>
      </c>
      <c r="E4">
        <v>1500</v>
      </c>
      <c r="F4">
        <f t="shared" si="0"/>
        <v>1640</v>
      </c>
      <c r="G4">
        <f t="shared" si="1"/>
        <v>8.5365853658536592E-2</v>
      </c>
      <c r="H4">
        <f t="shared" ref="H4:H34" si="3">E4/F4</f>
        <v>0.91463414634146345</v>
      </c>
      <c r="I4">
        <v>200</v>
      </c>
      <c r="J4" s="3">
        <v>3.0000000000000001E-5</v>
      </c>
      <c r="K4" s="3">
        <f t="shared" ref="K4:K34" si="4">I4/(E4*1000)</f>
        <v>1.3333333333333334E-4</v>
      </c>
      <c r="L4" s="3">
        <f>900/30000</f>
        <v>0.03</v>
      </c>
      <c r="M4" s="3">
        <f t="shared" si="2"/>
        <v>0.83975991441110354</v>
      </c>
      <c r="N4">
        <v>300</v>
      </c>
      <c r="O4">
        <v>600</v>
      </c>
      <c r="P4">
        <f>N4/O4</f>
        <v>0.5</v>
      </c>
      <c r="Q4" t="s">
        <v>69</v>
      </c>
    </row>
    <row r="5" spans="1:18" x14ac:dyDescent="0.25">
      <c r="A5" t="s">
        <v>7</v>
      </c>
      <c r="B5" t="s">
        <v>8</v>
      </c>
      <c r="C5">
        <v>150</v>
      </c>
      <c r="D5">
        <v>150</v>
      </c>
      <c r="E5">
        <v>1200</v>
      </c>
      <c r="F5">
        <f t="shared" si="0"/>
        <v>1350</v>
      </c>
      <c r="G5">
        <f t="shared" si="1"/>
        <v>0.1111111111111111</v>
      </c>
      <c r="H5">
        <f t="shared" si="3"/>
        <v>0.88888888888888884</v>
      </c>
      <c r="I5">
        <v>200</v>
      </c>
      <c r="J5" s="3">
        <f>6/80*0.001</f>
        <v>7.4999999999999993E-5</v>
      </c>
      <c r="K5" s="3">
        <f t="shared" si="4"/>
        <v>1.6666666666666666E-4</v>
      </c>
      <c r="L5" s="3">
        <f>1150/70000</f>
        <v>1.6428571428571428E-2</v>
      </c>
      <c r="M5" s="3">
        <f t="shared" si="2"/>
        <v>0.92729521800161219</v>
      </c>
      <c r="N5">
        <v>180</v>
      </c>
      <c r="O5">
        <v>280</v>
      </c>
      <c r="P5">
        <f t="shared" ref="P5:P28" si="5">N5/O5</f>
        <v>0.6428571428571429</v>
      </c>
      <c r="Q5" t="s">
        <v>77</v>
      </c>
    </row>
    <row r="6" spans="1:18" x14ac:dyDescent="0.25">
      <c r="A6" t="s">
        <v>9</v>
      </c>
      <c r="B6" t="s">
        <v>10</v>
      </c>
      <c r="C6">
        <v>130</v>
      </c>
      <c r="D6">
        <v>100</v>
      </c>
      <c r="E6">
        <v>250</v>
      </c>
      <c r="F6">
        <f t="shared" si="0"/>
        <v>380</v>
      </c>
      <c r="G6">
        <f t="shared" si="1"/>
        <v>0.34210526315789475</v>
      </c>
      <c r="H6">
        <f t="shared" si="3"/>
        <v>0.65789473684210531</v>
      </c>
      <c r="I6">
        <v>250</v>
      </c>
      <c r="J6" s="3">
        <f>2/70*0.001</f>
        <v>2.8571428571428571E-5</v>
      </c>
      <c r="K6" s="3">
        <f t="shared" si="4"/>
        <v>1E-3</v>
      </c>
      <c r="L6" s="3">
        <v>2.1999999999999999E-2</v>
      </c>
      <c r="M6" s="3">
        <f t="shared" si="2"/>
        <v>0.73434766763643844</v>
      </c>
      <c r="N6">
        <v>15</v>
      </c>
      <c r="O6">
        <v>50</v>
      </c>
      <c r="P6">
        <f t="shared" si="5"/>
        <v>0.3</v>
      </c>
      <c r="Q6" t="s">
        <v>72</v>
      </c>
    </row>
    <row r="7" spans="1:18" x14ac:dyDescent="0.25">
      <c r="A7" t="s">
        <v>11</v>
      </c>
      <c r="B7" t="s">
        <v>10</v>
      </c>
      <c r="C7">
        <v>240</v>
      </c>
      <c r="D7">
        <v>250</v>
      </c>
      <c r="E7">
        <v>500</v>
      </c>
      <c r="F7">
        <f t="shared" si="0"/>
        <v>740</v>
      </c>
      <c r="G7">
        <f t="shared" si="1"/>
        <v>0.32432432432432434</v>
      </c>
      <c r="H7">
        <f t="shared" si="3"/>
        <v>0.67567567567567566</v>
      </c>
      <c r="I7">
        <v>150</v>
      </c>
      <c r="J7" s="3">
        <v>6.0000000000000002E-5</v>
      </c>
      <c r="K7" s="3">
        <f t="shared" si="4"/>
        <v>2.9999999999999997E-4</v>
      </c>
      <c r="L7" s="3">
        <f>400/80000</f>
        <v>5.0000000000000001E-3</v>
      </c>
      <c r="M7" s="3">
        <f t="shared" si="2"/>
        <v>0.96035005920705385</v>
      </c>
      <c r="N7">
        <v>50</v>
      </c>
      <c r="O7">
        <v>250</v>
      </c>
      <c r="P7">
        <f>N7/O7</f>
        <v>0.2</v>
      </c>
      <c r="Q7" t="s">
        <v>119</v>
      </c>
    </row>
    <row r="8" spans="1:18" x14ac:dyDescent="0.25">
      <c r="A8" t="s">
        <v>12</v>
      </c>
      <c r="B8" t="s">
        <v>13</v>
      </c>
      <c r="C8">
        <v>140</v>
      </c>
      <c r="D8">
        <v>130</v>
      </c>
      <c r="E8">
        <v>500</v>
      </c>
      <c r="F8">
        <f t="shared" si="0"/>
        <v>640</v>
      </c>
      <c r="G8">
        <f t="shared" si="1"/>
        <v>0.21875</v>
      </c>
      <c r="H8">
        <f t="shared" si="3"/>
        <v>0.78125</v>
      </c>
      <c r="I8">
        <v>177</v>
      </c>
      <c r="J8" s="3">
        <v>5.0000000000000002E-5</v>
      </c>
      <c r="K8" s="3">
        <f t="shared" si="4"/>
        <v>3.5399999999999999E-4</v>
      </c>
      <c r="L8" s="3">
        <f>900/40000</f>
        <v>2.2499999999999999E-2</v>
      </c>
      <c r="M8" s="3">
        <f t="shared" si="2"/>
        <v>0.86934043029848962</v>
      </c>
      <c r="N8">
        <v>40</v>
      </c>
      <c r="O8">
        <v>150</v>
      </c>
      <c r="P8">
        <f t="shared" si="5"/>
        <v>0.26666666666666666</v>
      </c>
      <c r="Q8" t="s">
        <v>70</v>
      </c>
    </row>
    <row r="9" spans="1:18" x14ac:dyDescent="0.25">
      <c r="A9" t="s">
        <v>14</v>
      </c>
      <c r="B9" t="s">
        <v>15</v>
      </c>
      <c r="C9">
        <v>330</v>
      </c>
      <c r="D9">
        <v>400</v>
      </c>
      <c r="E9">
        <v>200</v>
      </c>
      <c r="F9">
        <f t="shared" si="0"/>
        <v>530</v>
      </c>
      <c r="G9">
        <f t="shared" si="1"/>
        <v>0.62264150943396224</v>
      </c>
      <c r="H9">
        <f t="shared" si="3"/>
        <v>0.37735849056603776</v>
      </c>
      <c r="I9">
        <v>100</v>
      </c>
      <c r="J9" s="3">
        <v>9.0000000000000006E-5</v>
      </c>
      <c r="K9" s="3">
        <f t="shared" si="4"/>
        <v>5.0000000000000001E-4</v>
      </c>
      <c r="L9" s="3">
        <f>1300/50000</f>
        <v>2.5999999999999999E-2</v>
      </c>
      <c r="M9" s="3">
        <f t="shared" si="2"/>
        <v>1.0897278309030873</v>
      </c>
      <c r="N9">
        <v>250</v>
      </c>
      <c r="O9">
        <v>500</v>
      </c>
      <c r="P9">
        <f t="shared" si="5"/>
        <v>0.5</v>
      </c>
      <c r="Q9" t="s">
        <v>167</v>
      </c>
    </row>
    <row r="10" spans="1:18" x14ac:dyDescent="0.25">
      <c r="A10" t="s">
        <v>16</v>
      </c>
      <c r="B10" t="s">
        <v>10</v>
      </c>
      <c r="C10">
        <v>660</v>
      </c>
      <c r="D10">
        <v>150</v>
      </c>
      <c r="E10">
        <v>1000</v>
      </c>
      <c r="F10">
        <f t="shared" si="0"/>
        <v>1660</v>
      </c>
      <c r="G10">
        <f t="shared" si="1"/>
        <v>0.39759036144578314</v>
      </c>
      <c r="H10">
        <f t="shared" si="3"/>
        <v>0.60240963855421692</v>
      </c>
      <c r="I10">
        <v>150</v>
      </c>
      <c r="J10" s="3">
        <v>1E-3</v>
      </c>
      <c r="K10" s="3">
        <f t="shared" si="4"/>
        <v>1.4999999999999999E-4</v>
      </c>
      <c r="L10" s="3">
        <f>400/80000</f>
        <v>5.0000000000000001E-3</v>
      </c>
      <c r="M10" s="3">
        <f t="shared" si="2"/>
        <v>0.22630196318096901</v>
      </c>
      <c r="N10">
        <v>0</v>
      </c>
      <c r="O10">
        <v>300</v>
      </c>
      <c r="P10">
        <f t="shared" si="5"/>
        <v>0</v>
      </c>
      <c r="Q10" t="s">
        <v>17</v>
      </c>
    </row>
    <row r="11" spans="1:18" x14ac:dyDescent="0.25">
      <c r="A11" t="s">
        <v>18</v>
      </c>
      <c r="B11" t="s">
        <v>19</v>
      </c>
      <c r="C11">
        <v>31</v>
      </c>
      <c r="D11">
        <v>70</v>
      </c>
      <c r="E11">
        <v>75</v>
      </c>
      <c r="F11">
        <f t="shared" si="0"/>
        <v>106</v>
      </c>
      <c r="G11">
        <f t="shared" si="1"/>
        <v>0.29245283018867924</v>
      </c>
      <c r="H11">
        <f t="shared" si="3"/>
        <v>0.70754716981132071</v>
      </c>
      <c r="I11">
        <v>100</v>
      </c>
      <c r="J11" s="3">
        <v>1.1E-4</v>
      </c>
      <c r="K11" s="3">
        <f t="shared" si="4"/>
        <v>1.3333333333333333E-3</v>
      </c>
      <c r="L11" s="3">
        <f>1600/60000</f>
        <v>2.6666666666666668E-2</v>
      </c>
      <c r="M11" s="3">
        <f t="shared" si="2"/>
        <v>1.691860366359111</v>
      </c>
      <c r="N11">
        <v>20</v>
      </c>
      <c r="O11">
        <v>100</v>
      </c>
      <c r="P11">
        <f t="shared" si="5"/>
        <v>0.2</v>
      </c>
      <c r="Q11" t="s">
        <v>20</v>
      </c>
    </row>
    <row r="12" spans="1:18" x14ac:dyDescent="0.25">
      <c r="A12" t="s">
        <v>21</v>
      </c>
      <c r="B12" t="s">
        <v>22</v>
      </c>
      <c r="C12">
        <v>60</v>
      </c>
      <c r="D12">
        <v>50</v>
      </c>
      <c r="E12">
        <v>500</v>
      </c>
      <c r="F12">
        <f t="shared" si="0"/>
        <v>560</v>
      </c>
      <c r="G12">
        <f t="shared" si="1"/>
        <v>0.10714285714285714</v>
      </c>
      <c r="H12">
        <f t="shared" si="3"/>
        <v>0.8928571428571429</v>
      </c>
      <c r="I12">
        <v>200</v>
      </c>
      <c r="J12" s="3">
        <v>4.0000000000000003E-5</v>
      </c>
      <c r="K12" s="3">
        <f t="shared" si="4"/>
        <v>4.0000000000000002E-4</v>
      </c>
      <c r="L12" s="3">
        <f>400/30000</f>
        <v>1.3333333333333334E-2</v>
      </c>
      <c r="M12" s="3">
        <f t="shared" si="2"/>
        <v>0.7895822393995231</v>
      </c>
      <c r="N12" t="s">
        <v>99</v>
      </c>
      <c r="O12">
        <v>1000</v>
      </c>
      <c r="P12" t="s">
        <v>99</v>
      </c>
      <c r="Q12" t="s">
        <v>73</v>
      </c>
    </row>
    <row r="13" spans="1:18" x14ac:dyDescent="0.25">
      <c r="A13" t="s">
        <v>23</v>
      </c>
      <c r="B13" t="s">
        <v>24</v>
      </c>
      <c r="C13">
        <v>40</v>
      </c>
      <c r="D13">
        <v>35</v>
      </c>
      <c r="E13">
        <v>120</v>
      </c>
      <c r="F13">
        <f t="shared" si="0"/>
        <v>160</v>
      </c>
      <c r="G13">
        <f t="shared" si="1"/>
        <v>0.25</v>
      </c>
      <c r="H13">
        <f t="shared" si="3"/>
        <v>0.75</v>
      </c>
      <c r="I13">
        <v>80</v>
      </c>
      <c r="J13" s="3">
        <f>20/40000</f>
        <v>5.0000000000000001E-4</v>
      </c>
      <c r="K13" s="3">
        <f t="shared" si="4"/>
        <v>6.6666666666666664E-4</v>
      </c>
      <c r="L13" s="3">
        <f>800/50000</f>
        <v>1.6E-2</v>
      </c>
      <c r="M13" s="3">
        <f t="shared" si="2"/>
        <v>0.82482088319477465</v>
      </c>
      <c r="N13">
        <v>10</v>
      </c>
      <c r="O13">
        <v>100</v>
      </c>
      <c r="P13">
        <f t="shared" si="5"/>
        <v>0.1</v>
      </c>
      <c r="Q13" t="s">
        <v>94</v>
      </c>
    </row>
    <row r="14" spans="1:18" x14ac:dyDescent="0.25">
      <c r="A14" t="s">
        <v>25</v>
      </c>
      <c r="B14" t="s">
        <v>26</v>
      </c>
      <c r="C14">
        <v>20</v>
      </c>
      <c r="D14">
        <v>25</v>
      </c>
      <c r="E14">
        <v>7.5</v>
      </c>
      <c r="F14">
        <f t="shared" si="0"/>
        <v>27.5</v>
      </c>
      <c r="G14">
        <f t="shared" si="1"/>
        <v>0.72727272727272729</v>
      </c>
      <c r="H14">
        <f t="shared" si="3"/>
        <v>0.27272727272727271</v>
      </c>
      <c r="I14">
        <v>20</v>
      </c>
      <c r="J14" s="3">
        <v>6.0000000000000002E-5</v>
      </c>
      <c r="K14" s="3">
        <f t="shared" si="4"/>
        <v>2.6666666666666666E-3</v>
      </c>
      <c r="L14" s="3">
        <f>1050/10000</f>
        <v>0.105</v>
      </c>
      <c r="M14" s="3">
        <f t="shared" si="2"/>
        <v>1.1171986306871249</v>
      </c>
      <c r="N14">
        <v>200</v>
      </c>
      <c r="O14">
        <v>300</v>
      </c>
      <c r="P14">
        <f t="shared" si="5"/>
        <v>0.66666666666666663</v>
      </c>
      <c r="Q14" t="s">
        <v>132</v>
      </c>
    </row>
    <row r="15" spans="1:18" x14ac:dyDescent="0.25">
      <c r="A15" t="s">
        <v>27</v>
      </c>
      <c r="B15" t="s">
        <v>28</v>
      </c>
      <c r="C15">
        <v>15</v>
      </c>
      <c r="D15">
        <v>18</v>
      </c>
      <c r="E15">
        <v>1</v>
      </c>
      <c r="F15">
        <f t="shared" si="0"/>
        <v>16</v>
      </c>
      <c r="G15">
        <f t="shared" si="1"/>
        <v>0.9375</v>
      </c>
      <c r="H15">
        <f t="shared" si="3"/>
        <v>6.25E-2</v>
      </c>
      <c r="I15">
        <v>1</v>
      </c>
      <c r="J15" s="3">
        <f>10/C15*0.001</f>
        <v>6.6666666666666664E-4</v>
      </c>
      <c r="K15" s="3">
        <f t="shared" si="4"/>
        <v>1E-3</v>
      </c>
      <c r="L15" s="3">
        <v>2.8000000000000001E-2</v>
      </c>
      <c r="M15" s="3">
        <f t="shared" si="2"/>
        <v>1.0808390005411683</v>
      </c>
      <c r="N15">
        <v>20</v>
      </c>
      <c r="O15">
        <v>50</v>
      </c>
      <c r="P15">
        <f t="shared" si="5"/>
        <v>0.4</v>
      </c>
      <c r="Q15" t="s">
        <v>84</v>
      </c>
    </row>
    <row r="16" spans="1:18" x14ac:dyDescent="0.25">
      <c r="A16" t="s">
        <v>107</v>
      </c>
      <c r="B16" t="s">
        <v>29</v>
      </c>
      <c r="C16">
        <v>50</v>
      </c>
      <c r="D16">
        <v>50</v>
      </c>
      <c r="E16">
        <v>1200</v>
      </c>
      <c r="F16">
        <f t="shared" si="0"/>
        <v>1250</v>
      </c>
      <c r="G16">
        <f t="shared" si="1"/>
        <v>0.04</v>
      </c>
      <c r="H16">
        <f t="shared" si="3"/>
        <v>0.96</v>
      </c>
      <c r="I16">
        <v>60</v>
      </c>
      <c r="J16" s="3">
        <f>200/(C16*1000)</f>
        <v>4.0000000000000001E-3</v>
      </c>
      <c r="K16" s="3">
        <f t="shared" si="4"/>
        <v>5.0000000000000002E-5</v>
      </c>
      <c r="L16" s="3">
        <f>900/30000</f>
        <v>0.03</v>
      </c>
      <c r="M16" s="3">
        <f t="shared" si="2"/>
        <v>0.92729521800161219</v>
      </c>
      <c r="N16">
        <v>50</v>
      </c>
      <c r="O16">
        <v>200</v>
      </c>
      <c r="P16">
        <f t="shared" si="5"/>
        <v>0.25</v>
      </c>
      <c r="Q16" t="s">
        <v>68</v>
      </c>
    </row>
    <row r="17" spans="1:18" x14ac:dyDescent="0.25">
      <c r="A17" t="s">
        <v>30</v>
      </c>
      <c r="B17" t="s">
        <v>28</v>
      </c>
      <c r="C17">
        <v>60</v>
      </c>
      <c r="D17">
        <v>70</v>
      </c>
      <c r="E17">
        <v>50</v>
      </c>
      <c r="F17">
        <f t="shared" si="0"/>
        <v>110</v>
      </c>
      <c r="G17">
        <f t="shared" si="1"/>
        <v>0.54545454545454541</v>
      </c>
      <c r="H17">
        <f t="shared" si="3"/>
        <v>0.45454545454545453</v>
      </c>
      <c r="I17">
        <v>100</v>
      </c>
      <c r="J17" s="3">
        <f>150/C17*0.001</f>
        <v>2.5000000000000001E-3</v>
      </c>
      <c r="K17" s="3">
        <f t="shared" si="4"/>
        <v>2E-3</v>
      </c>
      <c r="L17" s="3">
        <f>500/20000</f>
        <v>2.5000000000000001E-2</v>
      </c>
      <c r="M17" s="3">
        <f t="shared" si="2"/>
        <v>1.0561488968527193</v>
      </c>
      <c r="N17">
        <v>25</v>
      </c>
      <c r="O17">
        <v>250</v>
      </c>
      <c r="P17">
        <f t="shared" si="5"/>
        <v>0.1</v>
      </c>
      <c r="Q17" t="s">
        <v>218</v>
      </c>
    </row>
    <row r="18" spans="1:18" x14ac:dyDescent="0.25">
      <c r="A18" t="s">
        <v>32</v>
      </c>
      <c r="B18" t="s">
        <v>33</v>
      </c>
      <c r="C18">
        <v>60</v>
      </c>
      <c r="D18">
        <v>50</v>
      </c>
      <c r="E18">
        <v>50</v>
      </c>
      <c r="F18">
        <f t="shared" si="0"/>
        <v>110</v>
      </c>
      <c r="G18">
        <f t="shared" si="1"/>
        <v>0.54545454545454541</v>
      </c>
      <c r="H18">
        <f t="shared" si="3"/>
        <v>0.45454545454545453</v>
      </c>
      <c r="I18">
        <v>50</v>
      </c>
      <c r="J18" s="3">
        <v>1E-4</v>
      </c>
      <c r="K18" s="3">
        <f t="shared" si="4"/>
        <v>1E-3</v>
      </c>
      <c r="L18" s="3">
        <f>1100/50000</f>
        <v>2.1999999999999999E-2</v>
      </c>
      <c r="M18" s="3">
        <f t="shared" si="2"/>
        <v>0.7895822393995231</v>
      </c>
      <c r="N18">
        <v>40</v>
      </c>
      <c r="O18">
        <v>105</v>
      </c>
      <c r="P18">
        <f t="shared" si="5"/>
        <v>0.38095238095238093</v>
      </c>
      <c r="Q18" t="s">
        <v>172</v>
      </c>
    </row>
    <row r="19" spans="1:18" x14ac:dyDescent="0.25">
      <c r="A19" t="s">
        <v>34</v>
      </c>
      <c r="B19" t="s">
        <v>35</v>
      </c>
      <c r="C19">
        <v>50</v>
      </c>
      <c r="D19">
        <v>50</v>
      </c>
      <c r="E19">
        <v>1500</v>
      </c>
      <c r="F19">
        <f t="shared" si="0"/>
        <v>1550</v>
      </c>
      <c r="G19">
        <f t="shared" si="1"/>
        <v>3.2258064516129031E-2</v>
      </c>
      <c r="H19">
        <f t="shared" si="3"/>
        <v>0.967741935483871</v>
      </c>
      <c r="I19">
        <v>200</v>
      </c>
      <c r="J19" s="3">
        <v>2.0000000000000002E-5</v>
      </c>
      <c r="K19" s="3">
        <f t="shared" si="4"/>
        <v>1.3333333333333334E-4</v>
      </c>
      <c r="L19" s="3">
        <f>1150/70000</f>
        <v>1.6428571428571428E-2</v>
      </c>
      <c r="M19" s="3">
        <f t="shared" si="2"/>
        <v>0.92729521800161219</v>
      </c>
      <c r="N19">
        <f>O19-((O19-100)/12*40)</f>
        <v>53.333333333333329</v>
      </c>
      <c r="O19">
        <v>120</v>
      </c>
      <c r="P19">
        <f t="shared" si="5"/>
        <v>0.44444444444444442</v>
      </c>
      <c r="Q19" t="s">
        <v>71</v>
      </c>
    </row>
    <row r="20" spans="1:18" x14ac:dyDescent="0.25">
      <c r="A20" t="s">
        <v>37</v>
      </c>
      <c r="B20" t="s">
        <v>13</v>
      </c>
      <c r="C20">
        <v>220</v>
      </c>
      <c r="D20">
        <v>330</v>
      </c>
      <c r="E20">
        <v>350</v>
      </c>
      <c r="F20">
        <f t="shared" si="0"/>
        <v>570</v>
      </c>
      <c r="G20">
        <f t="shared" si="1"/>
        <v>0.38596491228070173</v>
      </c>
      <c r="H20">
        <f t="shared" si="3"/>
        <v>0.61403508771929827</v>
      </c>
      <c r="I20">
        <v>150</v>
      </c>
      <c r="J20" s="3">
        <v>3.0000000000000001E-5</v>
      </c>
      <c r="K20" s="3">
        <f t="shared" si="4"/>
        <v>4.2857142857142855E-4</v>
      </c>
      <c r="L20" s="3">
        <f>900/30000</f>
        <v>0.03</v>
      </c>
      <c r="M20" s="3">
        <f t="shared" si="2"/>
        <v>1.2870022175865687</v>
      </c>
      <c r="N20">
        <v>250</v>
      </c>
      <c r="O20">
        <v>500</v>
      </c>
      <c r="P20">
        <f t="shared" si="5"/>
        <v>0.5</v>
      </c>
      <c r="Q20" t="s">
        <v>82</v>
      </c>
    </row>
    <row r="21" spans="1:18" x14ac:dyDescent="0.25">
      <c r="A21" t="s">
        <v>143</v>
      </c>
      <c r="B21" t="s">
        <v>144</v>
      </c>
      <c r="C21">
        <v>40</v>
      </c>
      <c r="D21">
        <v>50</v>
      </c>
      <c r="E21">
        <v>30</v>
      </c>
      <c r="F21">
        <f t="shared" si="0"/>
        <v>70</v>
      </c>
      <c r="G21">
        <f t="shared" si="1"/>
        <v>0.5714285714285714</v>
      </c>
      <c r="H21">
        <f t="shared" si="3"/>
        <v>0.42857142857142855</v>
      </c>
      <c r="I21">
        <v>40</v>
      </c>
      <c r="J21" s="3">
        <f>6/C21*0.001</f>
        <v>1.4999999999999999E-4</v>
      </c>
      <c r="K21" s="3">
        <f t="shared" si="4"/>
        <v>1.3333333333333333E-3</v>
      </c>
      <c r="L21" s="3">
        <f>2000/80000</f>
        <v>2.5000000000000001E-2</v>
      </c>
      <c r="M21" s="3">
        <f t="shared" si="2"/>
        <v>1.1171986306871249</v>
      </c>
      <c r="N21">
        <v>0</v>
      </c>
      <c r="O21">
        <v>300</v>
      </c>
      <c r="P21">
        <f t="shared" si="5"/>
        <v>0</v>
      </c>
      <c r="Q21" t="s">
        <v>145</v>
      </c>
    </row>
    <row r="22" spans="1:18" x14ac:dyDescent="0.25">
      <c r="A22" t="s">
        <v>38</v>
      </c>
      <c r="B22" t="s">
        <v>39</v>
      </c>
      <c r="C22">
        <v>75</v>
      </c>
      <c r="D22">
        <v>85</v>
      </c>
      <c r="E22">
        <v>50</v>
      </c>
      <c r="F22">
        <f t="shared" si="0"/>
        <v>125</v>
      </c>
      <c r="G22">
        <f t="shared" si="1"/>
        <v>0.6</v>
      </c>
      <c r="H22">
        <f t="shared" si="3"/>
        <v>0.4</v>
      </c>
      <c r="I22">
        <v>200</v>
      </c>
      <c r="J22" s="3">
        <f>80/C22*0.001</f>
        <v>1.0666666666666667E-3</v>
      </c>
      <c r="K22" s="3">
        <f t="shared" si="4"/>
        <v>4.0000000000000001E-3</v>
      </c>
      <c r="L22" s="3">
        <f>400/25000</f>
        <v>1.6E-2</v>
      </c>
      <c r="M22" s="3">
        <f t="shared" si="2"/>
        <v>1.0310980149179581</v>
      </c>
      <c r="N22">
        <v>50</v>
      </c>
      <c r="O22">
        <v>250</v>
      </c>
      <c r="P22">
        <f>N22/O22</f>
        <v>0.2</v>
      </c>
      <c r="Q22" t="s">
        <v>371</v>
      </c>
    </row>
    <row r="23" spans="1:18" x14ac:dyDescent="0.25">
      <c r="A23" t="s">
        <v>40</v>
      </c>
      <c r="B23" t="s">
        <v>28</v>
      </c>
      <c r="C23">
        <v>60</v>
      </c>
      <c r="D23">
        <v>35</v>
      </c>
      <c r="E23">
        <v>60</v>
      </c>
      <c r="F23">
        <f t="shared" si="0"/>
        <v>120</v>
      </c>
      <c r="G23">
        <f t="shared" si="1"/>
        <v>0.5</v>
      </c>
      <c r="H23">
        <f t="shared" si="3"/>
        <v>0.5</v>
      </c>
      <c r="I23">
        <v>125</v>
      </c>
      <c r="J23" s="3">
        <v>2.1000000000000001E-4</v>
      </c>
      <c r="K23" s="3">
        <f t="shared" si="4"/>
        <v>2.0833333333333333E-3</v>
      </c>
      <c r="L23" s="3">
        <f>1000/25000</f>
        <v>0.04</v>
      </c>
      <c r="M23" s="3">
        <f t="shared" si="2"/>
        <v>0.56758821841665574</v>
      </c>
      <c r="N23">
        <v>25</v>
      </c>
      <c r="O23">
        <v>100</v>
      </c>
      <c r="P23">
        <f t="shared" si="5"/>
        <v>0.25</v>
      </c>
    </row>
    <row r="24" spans="1:18" x14ac:dyDescent="0.25">
      <c r="A24" t="s">
        <v>382</v>
      </c>
      <c r="B24" t="s">
        <v>41</v>
      </c>
      <c r="C24">
        <v>500</v>
      </c>
      <c r="D24">
        <v>80</v>
      </c>
      <c r="E24">
        <v>1000</v>
      </c>
      <c r="F24">
        <f t="shared" si="0"/>
        <v>1500</v>
      </c>
      <c r="G24">
        <f t="shared" si="1"/>
        <v>0.33333333333333331</v>
      </c>
      <c r="H24">
        <f t="shared" si="3"/>
        <v>0.66666666666666663</v>
      </c>
      <c r="I24">
        <v>150</v>
      </c>
      <c r="J24" s="3">
        <v>2.2000000000000001E-4</v>
      </c>
      <c r="K24" s="3">
        <f t="shared" si="4"/>
        <v>1.4999999999999999E-4</v>
      </c>
      <c r="L24" s="3">
        <f>1000/50000</f>
        <v>0.02</v>
      </c>
      <c r="M24" s="3">
        <f t="shared" si="2"/>
        <v>0.15965997142447463</v>
      </c>
      <c r="N24">
        <v>80</v>
      </c>
      <c r="O24">
        <v>700</v>
      </c>
      <c r="P24">
        <f t="shared" si="5"/>
        <v>0.11428571428571428</v>
      </c>
      <c r="Q24" t="s">
        <v>156</v>
      </c>
    </row>
    <row r="25" spans="1:18" x14ac:dyDescent="0.25">
      <c r="A25" t="s">
        <v>42</v>
      </c>
      <c r="B25" t="s">
        <v>43</v>
      </c>
      <c r="C25">
        <v>200</v>
      </c>
      <c r="D25">
        <v>300</v>
      </c>
      <c r="E25">
        <v>100</v>
      </c>
      <c r="F25">
        <f t="shared" si="0"/>
        <v>300</v>
      </c>
      <c r="G25">
        <f t="shared" si="1"/>
        <v>0.66666666666666663</v>
      </c>
      <c r="H25">
        <f t="shared" si="3"/>
        <v>0.33333333333333331</v>
      </c>
      <c r="I25">
        <v>150</v>
      </c>
      <c r="J25" s="3">
        <v>2.0000000000000002E-5</v>
      </c>
      <c r="K25" s="3">
        <f t="shared" si="4"/>
        <v>1.5E-3</v>
      </c>
      <c r="L25" s="3">
        <f>900/30000</f>
        <v>0.03</v>
      </c>
      <c r="M25" s="3">
        <f t="shared" si="2"/>
        <v>1.2870022175865687</v>
      </c>
      <c r="N25">
        <v>600</v>
      </c>
      <c r="O25">
        <v>1000</v>
      </c>
      <c r="P25">
        <f t="shared" si="5"/>
        <v>0.6</v>
      </c>
      <c r="Q25" t="s">
        <v>79</v>
      </c>
    </row>
    <row r="26" spans="1:18" x14ac:dyDescent="0.25">
      <c r="A26" t="s">
        <v>44</v>
      </c>
      <c r="B26" t="s">
        <v>45</v>
      </c>
      <c r="C26">
        <v>120</v>
      </c>
      <c r="D26">
        <v>100</v>
      </c>
      <c r="E26">
        <v>50</v>
      </c>
      <c r="F26">
        <f t="shared" si="0"/>
        <v>170</v>
      </c>
      <c r="G26">
        <f t="shared" si="1"/>
        <v>0.70588235294117652</v>
      </c>
      <c r="H26">
        <f t="shared" si="3"/>
        <v>0.29411764705882354</v>
      </c>
      <c r="I26">
        <v>132</v>
      </c>
      <c r="J26" s="3">
        <f>5/C26*0.001</f>
        <v>4.1666666666666665E-5</v>
      </c>
      <c r="K26" s="3">
        <f t="shared" si="4"/>
        <v>2.64E-3</v>
      </c>
      <c r="L26" s="3">
        <f>2000/90000</f>
        <v>2.2222222222222223E-2</v>
      </c>
      <c r="M26" s="3">
        <f t="shared" si="2"/>
        <v>0.7895822393995231</v>
      </c>
      <c r="N26">
        <v>80</v>
      </c>
      <c r="O26">
        <v>80</v>
      </c>
      <c r="P26">
        <f t="shared" si="5"/>
        <v>1</v>
      </c>
      <c r="Q26" t="s">
        <v>46</v>
      </c>
    </row>
    <row r="27" spans="1:18" x14ac:dyDescent="0.25">
      <c r="A27" t="s">
        <v>47</v>
      </c>
      <c r="B27" t="s">
        <v>48</v>
      </c>
      <c r="C27">
        <v>170</v>
      </c>
      <c r="D27">
        <v>300</v>
      </c>
      <c r="E27">
        <v>75</v>
      </c>
      <c r="F27">
        <f t="shared" si="0"/>
        <v>245</v>
      </c>
      <c r="G27">
        <f t="shared" si="1"/>
        <v>0.69387755102040816</v>
      </c>
      <c r="H27">
        <f t="shared" si="3"/>
        <v>0.30612244897959184</v>
      </c>
      <c r="I27">
        <v>150</v>
      </c>
      <c r="J27" s="3">
        <v>9.0000000000000006E-5</v>
      </c>
      <c r="K27" s="3">
        <f t="shared" si="4"/>
        <v>2E-3</v>
      </c>
      <c r="L27" s="3">
        <v>0.02</v>
      </c>
      <c r="M27" s="3">
        <f t="shared" si="2"/>
        <v>1.445958706802982</v>
      </c>
      <c r="N27">
        <v>200</v>
      </c>
      <c r="O27">
        <v>1000</v>
      </c>
      <c r="P27">
        <f t="shared" si="5"/>
        <v>0.2</v>
      </c>
      <c r="Q27" t="s">
        <v>257</v>
      </c>
    </row>
    <row r="28" spans="1:18" x14ac:dyDescent="0.25">
      <c r="A28" t="s">
        <v>60</v>
      </c>
      <c r="B28" t="s">
        <v>33</v>
      </c>
      <c r="C28">
        <v>70</v>
      </c>
      <c r="D28">
        <v>70</v>
      </c>
      <c r="E28">
        <v>30</v>
      </c>
      <c r="F28">
        <f t="shared" si="0"/>
        <v>100</v>
      </c>
      <c r="G28">
        <f t="shared" si="1"/>
        <v>0.7</v>
      </c>
      <c r="H28">
        <f t="shared" si="3"/>
        <v>0.3</v>
      </c>
      <c r="I28">
        <v>50</v>
      </c>
      <c r="J28" s="3">
        <v>4.6999999999999999E-4</v>
      </c>
      <c r="K28" s="3">
        <f t="shared" si="4"/>
        <v>1.6666666666666668E-3</v>
      </c>
      <c r="L28" s="3">
        <f>1000/25000</f>
        <v>0.04</v>
      </c>
      <c r="M28" s="3">
        <f t="shared" ref="M28" si="6">ATAN((D28/2)/C28)*2</f>
        <v>0.92729521800161219</v>
      </c>
      <c r="N28">
        <v>160</v>
      </c>
      <c r="O28">
        <v>260</v>
      </c>
      <c r="P28">
        <f t="shared" si="5"/>
        <v>0.61538461538461542</v>
      </c>
      <c r="Q28" t="s">
        <v>78</v>
      </c>
    </row>
    <row r="29" spans="1:18" x14ac:dyDescent="0.25">
      <c r="A29" t="s">
        <v>62</v>
      </c>
      <c r="B29" t="s">
        <v>33</v>
      </c>
      <c r="C29">
        <v>80</v>
      </c>
      <c r="D29">
        <v>100</v>
      </c>
      <c r="E29">
        <v>30</v>
      </c>
      <c r="F29">
        <f t="shared" si="0"/>
        <v>110</v>
      </c>
      <c r="G29">
        <f t="shared" si="1"/>
        <v>0.72727272727272729</v>
      </c>
      <c r="H29">
        <f t="shared" si="3"/>
        <v>0.27272727272727271</v>
      </c>
      <c r="I29">
        <v>100</v>
      </c>
      <c r="J29" s="3">
        <v>2.7E-4</v>
      </c>
      <c r="K29" s="3">
        <f t="shared" si="4"/>
        <v>3.3333333333333335E-3</v>
      </c>
      <c r="L29" s="3">
        <f>2900/100000</f>
        <v>2.9000000000000001E-2</v>
      </c>
      <c r="M29" s="3">
        <f t="shared" si="2"/>
        <v>1.1171986306871249</v>
      </c>
      <c r="N29">
        <v>50</v>
      </c>
      <c r="O29">
        <v>440</v>
      </c>
      <c r="P29">
        <f>N29/O29</f>
        <v>0.11363636363636363</v>
      </c>
      <c r="Q29" t="s">
        <v>371</v>
      </c>
      <c r="R29" t="s">
        <v>373</v>
      </c>
    </row>
    <row r="30" spans="1:18" x14ac:dyDescent="0.25">
      <c r="A30" t="s">
        <v>74</v>
      </c>
      <c r="B30" t="s">
        <v>76</v>
      </c>
      <c r="C30">
        <v>25</v>
      </c>
      <c r="E30">
        <v>350</v>
      </c>
      <c r="F30">
        <f t="shared" si="0"/>
        <v>375</v>
      </c>
      <c r="G30">
        <f t="shared" si="1"/>
        <v>6.6666666666666666E-2</v>
      </c>
      <c r="H30">
        <f t="shared" si="3"/>
        <v>0.93333333333333335</v>
      </c>
      <c r="I30">
        <v>200</v>
      </c>
      <c r="K30" s="3">
        <f t="shared" si="4"/>
        <v>5.7142857142857147E-4</v>
      </c>
      <c r="M30" s="3">
        <f t="shared" si="2"/>
        <v>0</v>
      </c>
      <c r="N30" t="s">
        <v>99</v>
      </c>
      <c r="O30">
        <v>60</v>
      </c>
      <c r="P30" t="s">
        <v>99</v>
      </c>
      <c r="Q30" t="s">
        <v>75</v>
      </c>
    </row>
    <row r="31" spans="1:18" x14ac:dyDescent="0.25">
      <c r="A31" t="s">
        <v>80</v>
      </c>
      <c r="B31" t="s">
        <v>81</v>
      </c>
      <c r="C31">
        <v>400</v>
      </c>
      <c r="D31">
        <v>400</v>
      </c>
      <c r="E31">
        <v>100</v>
      </c>
      <c r="F31">
        <f t="shared" si="0"/>
        <v>500</v>
      </c>
      <c r="G31">
        <f t="shared" si="1"/>
        <v>0.8</v>
      </c>
      <c r="H31">
        <f t="shared" si="3"/>
        <v>0.2</v>
      </c>
      <c r="I31">
        <v>65</v>
      </c>
      <c r="J31" s="3">
        <v>6.9999999999999994E-5</v>
      </c>
      <c r="K31" s="3">
        <f t="shared" si="4"/>
        <v>6.4999999999999997E-4</v>
      </c>
      <c r="L31" s="3">
        <f>2900/80000</f>
        <v>3.6249999999999998E-2</v>
      </c>
      <c r="M31" s="3">
        <f t="shared" si="2"/>
        <v>0.92729521800161219</v>
      </c>
      <c r="N31">
        <v>2000</v>
      </c>
      <c r="O31">
        <v>1700</v>
      </c>
      <c r="P31">
        <f>N31/O31</f>
        <v>1.1764705882352942</v>
      </c>
      <c r="Q31" t="s">
        <v>116</v>
      </c>
      <c r="R31" t="s">
        <v>370</v>
      </c>
    </row>
    <row r="32" spans="1:18" x14ac:dyDescent="0.25">
      <c r="A32" t="s">
        <v>378</v>
      </c>
      <c r="B32" t="s">
        <v>152</v>
      </c>
      <c r="C32">
        <v>270</v>
      </c>
      <c r="D32">
        <v>230</v>
      </c>
      <c r="E32">
        <v>200</v>
      </c>
      <c r="F32">
        <f t="shared" si="0"/>
        <v>470</v>
      </c>
      <c r="G32">
        <f t="shared" si="1"/>
        <v>0.57446808510638303</v>
      </c>
      <c r="H32">
        <f t="shared" si="3"/>
        <v>0.42553191489361702</v>
      </c>
      <c r="I32">
        <v>100</v>
      </c>
      <c r="J32" s="3">
        <v>8.0000000000000007E-5</v>
      </c>
      <c r="K32" s="3">
        <f t="shared" si="4"/>
        <v>5.0000000000000001E-4</v>
      </c>
      <c r="L32" s="3">
        <f>2300/100000</f>
        <v>2.3E-2</v>
      </c>
      <c r="M32" s="3">
        <f t="shared" si="2"/>
        <v>0.8053093071037456</v>
      </c>
      <c r="N32" t="s">
        <v>99</v>
      </c>
      <c r="O32">
        <v>3000</v>
      </c>
      <c r="P32" t="s">
        <v>99</v>
      </c>
      <c r="Q32" t="s">
        <v>270</v>
      </c>
    </row>
    <row r="33" spans="1:17" x14ac:dyDescent="0.25">
      <c r="A33" t="s">
        <v>160</v>
      </c>
      <c r="B33" t="s">
        <v>161</v>
      </c>
      <c r="C33">
        <v>164</v>
      </c>
      <c r="D33">
        <v>150</v>
      </c>
      <c r="E33">
        <v>130</v>
      </c>
      <c r="F33">
        <f t="shared" si="0"/>
        <v>294</v>
      </c>
      <c r="G33">
        <f t="shared" si="1"/>
        <v>0.55782312925170063</v>
      </c>
      <c r="H33">
        <f t="shared" si="3"/>
        <v>0.44217687074829931</v>
      </c>
      <c r="I33">
        <v>231</v>
      </c>
      <c r="J33" s="3">
        <f>15/120000</f>
        <v>1.25E-4</v>
      </c>
      <c r="K33" s="3">
        <f t="shared" si="4"/>
        <v>1.776923076923077E-3</v>
      </c>
      <c r="L33" s="3">
        <f>1600/60000</f>
        <v>2.6666666666666668E-2</v>
      </c>
      <c r="M33" s="3">
        <f t="shared" si="2"/>
        <v>0.85784423932807863</v>
      </c>
      <c r="N33">
        <v>250</v>
      </c>
      <c r="O33">
        <v>250</v>
      </c>
      <c r="P33">
        <v>1</v>
      </c>
      <c r="Q33" t="s">
        <v>372</v>
      </c>
    </row>
    <row r="34" spans="1:17" x14ac:dyDescent="0.25">
      <c r="A34" t="s">
        <v>348</v>
      </c>
      <c r="B34" t="s">
        <v>349</v>
      </c>
      <c r="C34">
        <v>65</v>
      </c>
      <c r="D34">
        <v>100</v>
      </c>
      <c r="E34">
        <v>50</v>
      </c>
      <c r="F34">
        <f t="shared" si="0"/>
        <v>115</v>
      </c>
      <c r="G34">
        <f t="shared" si="1"/>
        <v>0.56521739130434778</v>
      </c>
      <c r="H34">
        <f t="shared" si="3"/>
        <v>0.43478260869565216</v>
      </c>
      <c r="I34">
        <v>50</v>
      </c>
      <c r="J34" s="3">
        <f>40/100000</f>
        <v>4.0000000000000002E-4</v>
      </c>
      <c r="K34" s="3">
        <f t="shared" si="4"/>
        <v>1E-3</v>
      </c>
      <c r="L34" s="3">
        <f>550/25000</f>
        <v>2.1999999999999999E-2</v>
      </c>
      <c r="M34" s="3">
        <f t="shared" si="2"/>
        <v>1.3113912524830724</v>
      </c>
      <c r="N34">
        <v>50</v>
      </c>
      <c r="O34">
        <v>160</v>
      </c>
      <c r="P34">
        <f>N34/O34</f>
        <v>0.3125</v>
      </c>
      <c r="Q34" t="s">
        <v>371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F289-583D-4FBF-848C-5269168BA084}">
  <dimension ref="A1:K34"/>
  <sheetViews>
    <sheetView workbookViewId="0">
      <pane xSplit="1" ySplit="2" topLeftCell="B3" activePane="bottomRight" state="frozen"/>
      <selection pane="topRight" activeCell="B1" sqref="B1"/>
      <selection pane="bottomLeft" activeCell="A3" sqref="A3"/>
      <selection pane="bottomRight" activeCell="K6" sqref="K6"/>
    </sheetView>
  </sheetViews>
  <sheetFormatPr defaultRowHeight="15" x14ac:dyDescent="0.25"/>
  <cols>
    <col min="1" max="1" width="20.85546875" bestFit="1" customWidth="1"/>
    <col min="2" max="2" width="15.85546875" bestFit="1" customWidth="1"/>
    <col min="4" max="4" width="10.42578125" bestFit="1" customWidth="1"/>
    <col min="5" max="5" width="10.42578125" customWidth="1"/>
    <col min="6" max="6" width="24.85546875" customWidth="1"/>
    <col min="7" max="7" width="41.5703125" customWidth="1"/>
    <col min="8" max="9" width="10.42578125" customWidth="1"/>
    <col min="10" max="10" width="23.28515625" bestFit="1" customWidth="1"/>
  </cols>
  <sheetData>
    <row r="1" spans="1:11" x14ac:dyDescent="0.25">
      <c r="A1" s="1" t="s">
        <v>0</v>
      </c>
      <c r="B1" s="1" t="s">
        <v>1</v>
      </c>
      <c r="C1" s="1" t="s">
        <v>201</v>
      </c>
      <c r="D1" s="1" t="s">
        <v>202</v>
      </c>
      <c r="E1" s="1" t="s">
        <v>205</v>
      </c>
      <c r="F1" s="1" t="s">
        <v>226</v>
      </c>
      <c r="G1" s="1" t="s">
        <v>227</v>
      </c>
      <c r="H1" s="1" t="s">
        <v>206</v>
      </c>
      <c r="I1" s="1" t="s">
        <v>219</v>
      </c>
      <c r="J1" s="1" t="s">
        <v>228</v>
      </c>
      <c r="K1" s="1" t="s">
        <v>229</v>
      </c>
    </row>
    <row r="2" spans="1:11" x14ac:dyDescent="0.25">
      <c r="A2" s="1"/>
      <c r="B2" s="1"/>
      <c r="C2" s="1" t="s">
        <v>244</v>
      </c>
      <c r="D2" s="1" t="s">
        <v>244</v>
      </c>
      <c r="E2" s="1" t="s">
        <v>244</v>
      </c>
      <c r="F2" s="1"/>
      <c r="G2" s="1"/>
      <c r="H2" s="1" t="s">
        <v>244</v>
      </c>
      <c r="I2" s="1" t="s">
        <v>244</v>
      </c>
      <c r="J2" s="1"/>
      <c r="K2" s="1"/>
    </row>
    <row r="3" spans="1:11" x14ac:dyDescent="0.25">
      <c r="A3" t="s">
        <v>2</v>
      </c>
      <c r="B3" t="s">
        <v>3</v>
      </c>
      <c r="C3">
        <v>2</v>
      </c>
      <c r="D3">
        <v>0.2</v>
      </c>
      <c r="E3" t="s">
        <v>99</v>
      </c>
      <c r="F3" t="s">
        <v>106</v>
      </c>
      <c r="H3" t="s">
        <v>99</v>
      </c>
      <c r="I3" t="s">
        <v>99</v>
      </c>
    </row>
    <row r="4" spans="1:11" x14ac:dyDescent="0.25">
      <c r="A4" t="s">
        <v>5</v>
      </c>
      <c r="B4" t="s">
        <v>6</v>
      </c>
      <c r="C4">
        <v>7</v>
      </c>
      <c r="D4">
        <v>0.5</v>
      </c>
      <c r="E4">
        <v>1</v>
      </c>
      <c r="F4" t="s">
        <v>69</v>
      </c>
      <c r="H4" t="s">
        <v>99</v>
      </c>
      <c r="I4" t="s">
        <v>99</v>
      </c>
    </row>
    <row r="5" spans="1:11" x14ac:dyDescent="0.25">
      <c r="A5" t="s">
        <v>7</v>
      </c>
      <c r="B5" t="s">
        <v>8</v>
      </c>
      <c r="C5">
        <v>3</v>
      </c>
      <c r="D5">
        <v>0.1</v>
      </c>
      <c r="E5">
        <v>1</v>
      </c>
      <c r="F5" t="s">
        <v>77</v>
      </c>
      <c r="G5" t="s">
        <v>203</v>
      </c>
      <c r="H5">
        <v>4</v>
      </c>
      <c r="I5">
        <v>0.2</v>
      </c>
      <c r="J5" t="s">
        <v>230</v>
      </c>
      <c r="K5" t="s">
        <v>400</v>
      </c>
    </row>
    <row r="6" spans="1:11" x14ac:dyDescent="0.25">
      <c r="A6" t="s">
        <v>9</v>
      </c>
      <c r="B6" t="s">
        <v>10</v>
      </c>
      <c r="C6">
        <v>1</v>
      </c>
      <c r="D6">
        <v>0.9</v>
      </c>
      <c r="E6">
        <v>1</v>
      </c>
      <c r="F6" t="s">
        <v>72</v>
      </c>
      <c r="H6">
        <v>2</v>
      </c>
      <c r="I6" t="s">
        <v>99</v>
      </c>
      <c r="J6" t="s">
        <v>231</v>
      </c>
    </row>
    <row r="7" spans="1:11" x14ac:dyDescent="0.25">
      <c r="A7" t="s">
        <v>11</v>
      </c>
      <c r="B7" t="s">
        <v>10</v>
      </c>
      <c r="C7">
        <v>4</v>
      </c>
      <c r="D7">
        <v>0.5</v>
      </c>
      <c r="E7">
        <v>1</v>
      </c>
      <c r="F7" t="s">
        <v>119</v>
      </c>
      <c r="G7" t="s">
        <v>120</v>
      </c>
      <c r="H7" t="s">
        <v>99</v>
      </c>
      <c r="I7" t="s">
        <v>99</v>
      </c>
    </row>
    <row r="8" spans="1:11" x14ac:dyDescent="0.25">
      <c r="A8" t="s">
        <v>12</v>
      </c>
      <c r="B8" t="s">
        <v>13</v>
      </c>
      <c r="C8">
        <v>1</v>
      </c>
      <c r="D8">
        <v>0.3</v>
      </c>
      <c r="E8">
        <v>1</v>
      </c>
      <c r="F8" t="s">
        <v>70</v>
      </c>
      <c r="G8" t="s">
        <v>199</v>
      </c>
      <c r="H8">
        <v>2</v>
      </c>
      <c r="I8" t="s">
        <v>99</v>
      </c>
      <c r="J8" t="s">
        <v>232</v>
      </c>
    </row>
    <row r="9" spans="1:11" x14ac:dyDescent="0.25">
      <c r="A9" t="s">
        <v>14</v>
      </c>
      <c r="B9" t="s">
        <v>15</v>
      </c>
      <c r="C9" t="s">
        <v>99</v>
      </c>
      <c r="D9">
        <v>0.75</v>
      </c>
      <c r="E9">
        <v>1</v>
      </c>
      <c r="F9" t="s">
        <v>164</v>
      </c>
      <c r="G9" t="s">
        <v>207</v>
      </c>
      <c r="H9" t="s">
        <v>99</v>
      </c>
      <c r="I9" t="s">
        <v>99</v>
      </c>
    </row>
    <row r="10" spans="1:11" x14ac:dyDescent="0.25">
      <c r="A10" t="s">
        <v>16</v>
      </c>
      <c r="B10" t="s">
        <v>10</v>
      </c>
      <c r="C10">
        <v>5</v>
      </c>
      <c r="D10">
        <v>0.2</v>
      </c>
      <c r="E10">
        <v>0.6</v>
      </c>
      <c r="F10" t="s">
        <v>17</v>
      </c>
      <c r="H10" t="s">
        <v>99</v>
      </c>
      <c r="I10" t="s">
        <v>99</v>
      </c>
    </row>
    <row r="11" spans="1:11" x14ac:dyDescent="0.25">
      <c r="A11" t="s">
        <v>18</v>
      </c>
      <c r="B11" t="s">
        <v>19</v>
      </c>
      <c r="C11">
        <v>1</v>
      </c>
      <c r="D11">
        <v>0.1</v>
      </c>
      <c r="E11">
        <v>0.8</v>
      </c>
      <c r="F11" t="s">
        <v>20</v>
      </c>
      <c r="H11" t="s">
        <v>99</v>
      </c>
      <c r="I11" t="s">
        <v>99</v>
      </c>
    </row>
    <row r="12" spans="1:11" x14ac:dyDescent="0.25">
      <c r="A12" t="s">
        <v>21</v>
      </c>
      <c r="B12" t="s">
        <v>22</v>
      </c>
      <c r="C12">
        <v>10</v>
      </c>
      <c r="D12">
        <v>0.5</v>
      </c>
      <c r="E12">
        <v>0</v>
      </c>
      <c r="F12" t="s">
        <v>236</v>
      </c>
      <c r="G12" t="s">
        <v>200</v>
      </c>
      <c r="H12">
        <v>2</v>
      </c>
      <c r="I12" t="s">
        <v>99</v>
      </c>
      <c r="J12" t="s">
        <v>73</v>
      </c>
    </row>
    <row r="13" spans="1:11" x14ac:dyDescent="0.25">
      <c r="A13" t="s">
        <v>23</v>
      </c>
      <c r="B13" t="s">
        <v>24</v>
      </c>
      <c r="C13" s="4">
        <v>2</v>
      </c>
      <c r="D13">
        <v>0.6</v>
      </c>
      <c r="E13">
        <v>1</v>
      </c>
      <c r="F13" t="s">
        <v>204</v>
      </c>
      <c r="G13" t="s">
        <v>207</v>
      </c>
      <c r="H13" t="s">
        <v>99</v>
      </c>
      <c r="I13" t="s">
        <v>99</v>
      </c>
    </row>
    <row r="14" spans="1:11" x14ac:dyDescent="0.25">
      <c r="A14" t="s">
        <v>25</v>
      </c>
      <c r="B14" t="s">
        <v>26</v>
      </c>
      <c r="C14">
        <v>1</v>
      </c>
      <c r="D14">
        <v>0.6</v>
      </c>
      <c r="E14">
        <v>1</v>
      </c>
      <c r="F14" t="s">
        <v>132</v>
      </c>
      <c r="H14">
        <v>1</v>
      </c>
      <c r="I14" t="s">
        <v>99</v>
      </c>
      <c r="J14" t="s">
        <v>233</v>
      </c>
    </row>
    <row r="15" spans="1:11" x14ac:dyDescent="0.25">
      <c r="A15" t="s">
        <v>27</v>
      </c>
      <c r="B15" t="s">
        <v>28</v>
      </c>
      <c r="C15">
        <v>1</v>
      </c>
      <c r="D15">
        <v>0.9</v>
      </c>
      <c r="E15">
        <v>0.5</v>
      </c>
      <c r="F15" t="s">
        <v>84</v>
      </c>
      <c r="G15" t="s">
        <v>85</v>
      </c>
      <c r="H15">
        <v>1</v>
      </c>
      <c r="I15" t="s">
        <v>99</v>
      </c>
      <c r="J15" t="s">
        <v>31</v>
      </c>
    </row>
    <row r="16" spans="1:11" x14ac:dyDescent="0.25">
      <c r="A16" t="s">
        <v>107</v>
      </c>
      <c r="B16" t="s">
        <v>29</v>
      </c>
      <c r="C16">
        <v>4</v>
      </c>
      <c r="D16">
        <v>0.4</v>
      </c>
      <c r="E16">
        <v>0.5</v>
      </c>
      <c r="F16" t="s">
        <v>68</v>
      </c>
      <c r="H16" t="s">
        <v>99</v>
      </c>
      <c r="I16" t="s">
        <v>99</v>
      </c>
    </row>
    <row r="17" spans="1:11" x14ac:dyDescent="0.25">
      <c r="A17" t="s">
        <v>30</v>
      </c>
      <c r="B17" t="s">
        <v>28</v>
      </c>
      <c r="C17">
        <v>0</v>
      </c>
      <c r="D17">
        <v>0.2</v>
      </c>
      <c r="E17">
        <v>0.7</v>
      </c>
      <c r="F17" t="s">
        <v>31</v>
      </c>
      <c r="H17" t="s">
        <v>99</v>
      </c>
      <c r="I17" t="s">
        <v>99</v>
      </c>
    </row>
    <row r="18" spans="1:11" x14ac:dyDescent="0.25">
      <c r="A18" t="s">
        <v>32</v>
      </c>
      <c r="B18" t="s">
        <v>33</v>
      </c>
      <c r="C18">
        <v>1</v>
      </c>
      <c r="D18">
        <v>0.5</v>
      </c>
      <c r="E18">
        <v>1</v>
      </c>
      <c r="F18" t="s">
        <v>172</v>
      </c>
      <c r="H18" t="s">
        <v>99</v>
      </c>
      <c r="I18" t="s">
        <v>99</v>
      </c>
    </row>
    <row r="19" spans="1:11" x14ac:dyDescent="0.25">
      <c r="A19" t="s">
        <v>34</v>
      </c>
      <c r="B19" t="s">
        <v>35</v>
      </c>
      <c r="C19">
        <v>1</v>
      </c>
      <c r="D19">
        <v>0.5</v>
      </c>
      <c r="E19">
        <v>0.9</v>
      </c>
      <c r="F19" t="s">
        <v>71</v>
      </c>
      <c r="H19">
        <v>1</v>
      </c>
      <c r="I19" t="s">
        <v>99</v>
      </c>
      <c r="J19" t="s">
        <v>36</v>
      </c>
    </row>
    <row r="20" spans="1:11" x14ac:dyDescent="0.25">
      <c r="A20" t="s">
        <v>37</v>
      </c>
      <c r="B20" t="s">
        <v>13</v>
      </c>
      <c r="C20">
        <v>8</v>
      </c>
      <c r="D20">
        <v>0.4</v>
      </c>
      <c r="E20">
        <v>1</v>
      </c>
      <c r="F20" t="s">
        <v>82</v>
      </c>
      <c r="H20" t="s">
        <v>99</v>
      </c>
      <c r="I20" t="s">
        <v>99</v>
      </c>
    </row>
    <row r="21" spans="1:11" x14ac:dyDescent="0.25">
      <c r="A21" t="s">
        <v>143</v>
      </c>
      <c r="B21" t="s">
        <v>144</v>
      </c>
      <c r="C21">
        <v>2</v>
      </c>
      <c r="D21">
        <v>0.8</v>
      </c>
      <c r="E21">
        <v>0</v>
      </c>
      <c r="F21" t="s">
        <v>145</v>
      </c>
      <c r="G21" t="s">
        <v>148</v>
      </c>
      <c r="H21" t="s">
        <v>99</v>
      </c>
      <c r="I21" t="s">
        <v>99</v>
      </c>
    </row>
    <row r="22" spans="1:11" x14ac:dyDescent="0.25">
      <c r="A22" t="s">
        <v>38</v>
      </c>
      <c r="B22" t="s">
        <v>39</v>
      </c>
      <c r="C22" t="s">
        <v>99</v>
      </c>
      <c r="D22" t="s">
        <v>99</v>
      </c>
      <c r="E22">
        <v>0.3</v>
      </c>
      <c r="F22" t="s">
        <v>397</v>
      </c>
      <c r="H22" t="s">
        <v>99</v>
      </c>
      <c r="I22" t="s">
        <v>99</v>
      </c>
    </row>
    <row r="23" spans="1:11" x14ac:dyDescent="0.25">
      <c r="A23" t="s">
        <v>40</v>
      </c>
      <c r="B23" t="s">
        <v>28</v>
      </c>
      <c r="C23">
        <v>0</v>
      </c>
      <c r="D23">
        <v>0.9</v>
      </c>
      <c r="E23">
        <v>0.5</v>
      </c>
      <c r="F23" t="s">
        <v>237</v>
      </c>
      <c r="G23" t="s">
        <v>238</v>
      </c>
      <c r="H23" t="s">
        <v>99</v>
      </c>
      <c r="I23" t="s">
        <v>99</v>
      </c>
    </row>
    <row r="24" spans="1:11" x14ac:dyDescent="0.25">
      <c r="A24" t="s">
        <v>382</v>
      </c>
      <c r="B24" t="s">
        <v>41</v>
      </c>
      <c r="C24" t="s">
        <v>99</v>
      </c>
      <c r="D24" t="s">
        <v>99</v>
      </c>
      <c r="E24">
        <v>1</v>
      </c>
      <c r="F24" t="s">
        <v>158</v>
      </c>
      <c r="H24" t="s">
        <v>99</v>
      </c>
      <c r="I24" t="s">
        <v>99</v>
      </c>
    </row>
    <row r="25" spans="1:11" x14ac:dyDescent="0.25">
      <c r="A25" t="s">
        <v>42</v>
      </c>
      <c r="B25" t="s">
        <v>43</v>
      </c>
      <c r="C25">
        <v>30</v>
      </c>
      <c r="D25">
        <v>0.5</v>
      </c>
      <c r="E25" t="s">
        <v>99</v>
      </c>
      <c r="F25" t="s">
        <v>79</v>
      </c>
      <c r="H25" t="s">
        <v>99</v>
      </c>
      <c r="I25" t="s">
        <v>99</v>
      </c>
    </row>
    <row r="26" spans="1:11" x14ac:dyDescent="0.25">
      <c r="A26" t="s">
        <v>44</v>
      </c>
      <c r="B26" t="s">
        <v>45</v>
      </c>
      <c r="C26">
        <v>1</v>
      </c>
      <c r="D26">
        <v>0.1</v>
      </c>
      <c r="E26">
        <v>0</v>
      </c>
      <c r="F26" t="s">
        <v>46</v>
      </c>
      <c r="H26" t="s">
        <v>99</v>
      </c>
      <c r="I26" t="s">
        <v>99</v>
      </c>
      <c r="K26" t="s">
        <v>235</v>
      </c>
    </row>
    <row r="27" spans="1:11" x14ac:dyDescent="0.25">
      <c r="A27" t="s">
        <v>47</v>
      </c>
      <c r="B27" t="s">
        <v>48</v>
      </c>
      <c r="C27">
        <v>4</v>
      </c>
      <c r="D27">
        <v>0.4</v>
      </c>
      <c r="E27">
        <v>1</v>
      </c>
      <c r="F27" t="s">
        <v>130</v>
      </c>
      <c r="H27" t="s">
        <v>99</v>
      </c>
      <c r="I27" t="s">
        <v>99</v>
      </c>
    </row>
    <row r="28" spans="1:11" x14ac:dyDescent="0.25">
      <c r="A28" t="s">
        <v>60</v>
      </c>
      <c r="B28" t="s">
        <v>33</v>
      </c>
      <c r="C28">
        <v>3</v>
      </c>
      <c r="D28">
        <v>0.6</v>
      </c>
      <c r="E28">
        <v>1</v>
      </c>
      <c r="F28" t="s">
        <v>78</v>
      </c>
      <c r="H28">
        <v>1</v>
      </c>
      <c r="I28" t="s">
        <v>99</v>
      </c>
      <c r="J28" t="s">
        <v>239</v>
      </c>
    </row>
    <row r="29" spans="1:11" x14ac:dyDescent="0.25">
      <c r="A29" t="s">
        <v>62</v>
      </c>
      <c r="B29" t="s">
        <v>33</v>
      </c>
      <c r="C29">
        <v>3</v>
      </c>
      <c r="D29">
        <v>0.6</v>
      </c>
      <c r="E29">
        <v>1</v>
      </c>
      <c r="G29" t="s">
        <v>398</v>
      </c>
      <c r="H29">
        <v>3</v>
      </c>
      <c r="I29" t="s">
        <v>99</v>
      </c>
      <c r="J29" t="s">
        <v>239</v>
      </c>
    </row>
    <row r="30" spans="1:11" x14ac:dyDescent="0.25">
      <c r="A30" t="s">
        <v>74</v>
      </c>
      <c r="B30" t="s">
        <v>76</v>
      </c>
      <c r="C30">
        <v>1</v>
      </c>
      <c r="D30">
        <v>0.5</v>
      </c>
      <c r="E30">
        <v>0</v>
      </c>
      <c r="F30" t="s">
        <v>75</v>
      </c>
      <c r="H30" t="s">
        <v>99</v>
      </c>
      <c r="I30" t="s">
        <v>99</v>
      </c>
    </row>
    <row r="31" spans="1:11" x14ac:dyDescent="0.25">
      <c r="A31" t="s">
        <v>80</v>
      </c>
      <c r="B31" t="s">
        <v>81</v>
      </c>
      <c r="C31">
        <v>20</v>
      </c>
      <c r="D31">
        <v>0.3</v>
      </c>
      <c r="E31">
        <v>0.5</v>
      </c>
      <c r="F31" t="s">
        <v>394</v>
      </c>
      <c r="G31" t="s">
        <v>396</v>
      </c>
      <c r="H31" t="s">
        <v>99</v>
      </c>
      <c r="I31" t="s">
        <v>99</v>
      </c>
    </row>
    <row r="32" spans="1:11" x14ac:dyDescent="0.25">
      <c r="A32" t="s">
        <v>378</v>
      </c>
      <c r="B32" t="s">
        <v>152</v>
      </c>
      <c r="C32">
        <v>6</v>
      </c>
      <c r="D32">
        <v>0.5</v>
      </c>
      <c r="E32">
        <v>1</v>
      </c>
      <c r="F32" t="s">
        <v>153</v>
      </c>
      <c r="G32" t="s">
        <v>155</v>
      </c>
      <c r="H32">
        <v>3</v>
      </c>
      <c r="I32">
        <v>1</v>
      </c>
      <c r="J32" t="s">
        <v>153</v>
      </c>
      <c r="K32" t="s">
        <v>395</v>
      </c>
    </row>
    <row r="33" spans="1:9" x14ac:dyDescent="0.25">
      <c r="A33" t="s">
        <v>160</v>
      </c>
      <c r="B33" t="s">
        <v>161</v>
      </c>
      <c r="C33">
        <v>1</v>
      </c>
      <c r="D33">
        <v>0.3</v>
      </c>
      <c r="E33" t="s">
        <v>99</v>
      </c>
      <c r="F33" t="s">
        <v>162</v>
      </c>
      <c r="H33" t="s">
        <v>99</v>
      </c>
      <c r="I33" t="s">
        <v>99</v>
      </c>
    </row>
    <row r="34" spans="1:9" x14ac:dyDescent="0.25">
      <c r="A34" t="s">
        <v>348</v>
      </c>
      <c r="B34" t="s">
        <v>349</v>
      </c>
      <c r="C34">
        <v>2</v>
      </c>
      <c r="D34">
        <v>0.5</v>
      </c>
      <c r="E34">
        <v>0</v>
      </c>
      <c r="F34" t="s">
        <v>375</v>
      </c>
      <c r="G34" t="s">
        <v>90</v>
      </c>
      <c r="H34" t="s">
        <v>99</v>
      </c>
      <c r="I34" t="s">
        <v>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7E61-6EC8-4702-95F0-553682FCDA05}">
  <dimension ref="A1:J34"/>
  <sheetViews>
    <sheetView tabSelected="1" workbookViewId="0">
      <pane xSplit="1" ySplit="2" topLeftCell="B3" activePane="bottomRight" state="frozen"/>
      <selection pane="topRight" activeCell="B1" sqref="B1"/>
      <selection pane="bottomLeft" activeCell="A3" sqref="A3"/>
      <selection pane="bottomRight" activeCell="H23" sqref="H23"/>
    </sheetView>
  </sheetViews>
  <sheetFormatPr defaultRowHeight="15" x14ac:dyDescent="0.25"/>
  <cols>
    <col min="1" max="1" width="20.85546875" bestFit="1" customWidth="1"/>
    <col min="2" max="2" width="16.85546875" customWidth="1"/>
    <col min="5" max="5" width="28.5703125" customWidth="1"/>
    <col min="6" max="6" width="13.85546875" customWidth="1"/>
    <col min="9" max="9" width="40.85546875" customWidth="1"/>
    <col min="10" max="10" width="21.5703125" bestFit="1" customWidth="1"/>
  </cols>
  <sheetData>
    <row r="1" spans="1:10" x14ac:dyDescent="0.25">
      <c r="A1" s="1" t="s">
        <v>0</v>
      </c>
      <c r="B1" s="1" t="s">
        <v>1</v>
      </c>
      <c r="C1" s="1" t="s">
        <v>208</v>
      </c>
      <c r="D1" s="1" t="s">
        <v>209</v>
      </c>
      <c r="E1" s="1" t="s">
        <v>214</v>
      </c>
      <c r="F1" s="1" t="s">
        <v>215</v>
      </c>
      <c r="G1" s="1" t="s">
        <v>216</v>
      </c>
      <c r="H1" s="1" t="s">
        <v>220</v>
      </c>
      <c r="I1" s="1" t="s">
        <v>221</v>
      </c>
      <c r="J1" s="1" t="s">
        <v>222</v>
      </c>
    </row>
    <row r="2" spans="1:10" x14ac:dyDescent="0.25">
      <c r="A2" s="1"/>
      <c r="B2" s="1"/>
      <c r="C2" s="1" t="s">
        <v>244</v>
      </c>
      <c r="D2" s="1" t="s">
        <v>377</v>
      </c>
      <c r="E2" s="1"/>
      <c r="F2" s="1"/>
      <c r="G2" s="1" t="s">
        <v>244</v>
      </c>
      <c r="H2" s="1" t="s">
        <v>244</v>
      </c>
      <c r="I2" s="1"/>
    </row>
    <row r="3" spans="1:10" x14ac:dyDescent="0.25">
      <c r="A3" t="s">
        <v>2</v>
      </c>
      <c r="B3" t="s">
        <v>3</v>
      </c>
      <c r="C3">
        <v>0.25</v>
      </c>
      <c r="D3">
        <v>6000</v>
      </c>
      <c r="E3" t="s">
        <v>386</v>
      </c>
      <c r="F3" t="s">
        <v>391</v>
      </c>
      <c r="G3">
        <v>1</v>
      </c>
      <c r="H3">
        <v>0</v>
      </c>
      <c r="J3" t="s">
        <v>351</v>
      </c>
    </row>
    <row r="4" spans="1:10" x14ac:dyDescent="0.25">
      <c r="A4" t="s">
        <v>5</v>
      </c>
      <c r="B4" t="s">
        <v>6</v>
      </c>
      <c r="C4">
        <v>0.7</v>
      </c>
      <c r="D4">
        <v>6000</v>
      </c>
      <c r="E4" t="s">
        <v>50</v>
      </c>
      <c r="G4">
        <v>1</v>
      </c>
      <c r="H4">
        <v>0.35714285714285715</v>
      </c>
      <c r="I4" t="s">
        <v>87</v>
      </c>
      <c r="J4" t="s">
        <v>223</v>
      </c>
    </row>
    <row r="5" spans="1:10" x14ac:dyDescent="0.25">
      <c r="A5" t="s">
        <v>7</v>
      </c>
      <c r="B5" t="s">
        <v>8</v>
      </c>
      <c r="C5">
        <v>0.2</v>
      </c>
      <c r="D5">
        <v>7500</v>
      </c>
      <c r="E5" t="s">
        <v>63</v>
      </c>
      <c r="G5">
        <v>2</v>
      </c>
      <c r="H5">
        <f>40/Geometry_Raw!C5</f>
        <v>0.26666666666666666</v>
      </c>
      <c r="I5" t="s">
        <v>354</v>
      </c>
      <c r="J5" t="s">
        <v>353</v>
      </c>
    </row>
    <row r="6" spans="1:10" x14ac:dyDescent="0.25">
      <c r="A6" t="s">
        <v>9</v>
      </c>
      <c r="B6" t="s">
        <v>10</v>
      </c>
      <c r="C6">
        <v>0.8</v>
      </c>
      <c r="D6">
        <v>6800</v>
      </c>
      <c r="E6" t="s">
        <v>54</v>
      </c>
      <c r="G6">
        <v>5</v>
      </c>
      <c r="H6">
        <f>43.75/Geometry_Raw!C6</f>
        <v>0.33653846153846156</v>
      </c>
      <c r="I6" t="s">
        <v>356</v>
      </c>
      <c r="J6" t="s">
        <v>355</v>
      </c>
    </row>
    <row r="7" spans="1:10" x14ac:dyDescent="0.25">
      <c r="A7" t="s">
        <v>11</v>
      </c>
      <c r="B7" t="s">
        <v>10</v>
      </c>
      <c r="C7">
        <v>1</v>
      </c>
      <c r="D7">
        <v>7000</v>
      </c>
      <c r="E7" t="s">
        <v>52</v>
      </c>
      <c r="G7">
        <v>1</v>
      </c>
      <c r="H7">
        <f>30/Geometry_Raw!C7</f>
        <v>0.125</v>
      </c>
      <c r="I7" t="s">
        <v>360</v>
      </c>
      <c r="J7" t="s">
        <v>361</v>
      </c>
    </row>
    <row r="8" spans="1:10" x14ac:dyDescent="0.25">
      <c r="A8" t="s">
        <v>12</v>
      </c>
      <c r="B8" t="s">
        <v>13</v>
      </c>
      <c r="C8">
        <v>0.8</v>
      </c>
      <c r="D8">
        <v>9000</v>
      </c>
      <c r="E8" t="s">
        <v>51</v>
      </c>
      <c r="G8">
        <v>3</v>
      </c>
      <c r="H8">
        <f>11/140</f>
        <v>7.857142857142857E-2</v>
      </c>
      <c r="I8" t="s">
        <v>358</v>
      </c>
      <c r="J8" t="s">
        <v>357</v>
      </c>
    </row>
    <row r="9" spans="1:10" x14ac:dyDescent="0.25">
      <c r="A9" t="s">
        <v>14</v>
      </c>
      <c r="B9" t="s">
        <v>15</v>
      </c>
      <c r="C9">
        <v>0.1</v>
      </c>
      <c r="D9">
        <v>7000</v>
      </c>
      <c r="E9" t="s">
        <v>64</v>
      </c>
      <c r="F9" t="s">
        <v>65</v>
      </c>
      <c r="G9">
        <v>4</v>
      </c>
      <c r="H9">
        <v>0.54545454545454541</v>
      </c>
      <c r="J9" t="s">
        <v>224</v>
      </c>
    </row>
    <row r="10" spans="1:10" x14ac:dyDescent="0.25">
      <c r="A10" t="s">
        <v>16</v>
      </c>
      <c r="B10" t="s">
        <v>10</v>
      </c>
      <c r="C10">
        <v>0.2</v>
      </c>
      <c r="D10">
        <v>6000</v>
      </c>
      <c r="E10" t="s">
        <v>52</v>
      </c>
      <c r="F10" t="s">
        <v>66</v>
      </c>
      <c r="G10">
        <v>1</v>
      </c>
      <c r="H10">
        <v>0</v>
      </c>
      <c r="I10" t="s">
        <v>362</v>
      </c>
    </row>
    <row r="11" spans="1:10" x14ac:dyDescent="0.25">
      <c r="A11" t="s">
        <v>18</v>
      </c>
      <c r="B11" t="s">
        <v>19</v>
      </c>
      <c r="C11">
        <v>0.5</v>
      </c>
      <c r="D11">
        <v>6000</v>
      </c>
      <c r="E11" t="s">
        <v>53</v>
      </c>
      <c r="G11">
        <v>1</v>
      </c>
      <c r="H11">
        <v>0</v>
      </c>
      <c r="J11" t="s">
        <v>351</v>
      </c>
    </row>
    <row r="12" spans="1:10" x14ac:dyDescent="0.25">
      <c r="A12" t="s">
        <v>21</v>
      </c>
      <c r="B12" t="s">
        <v>22</v>
      </c>
      <c r="C12">
        <f>30/70</f>
        <v>0.42857142857142855</v>
      </c>
      <c r="D12">
        <v>6000</v>
      </c>
      <c r="E12" t="s">
        <v>212</v>
      </c>
      <c r="F12" t="s">
        <v>213</v>
      </c>
      <c r="G12">
        <v>1</v>
      </c>
      <c r="H12">
        <v>0</v>
      </c>
      <c r="J12" t="s">
        <v>351</v>
      </c>
    </row>
    <row r="13" spans="1:10" x14ac:dyDescent="0.25">
      <c r="A13" t="s">
        <v>23</v>
      </c>
      <c r="B13" t="s">
        <v>24</v>
      </c>
      <c r="C13">
        <v>1</v>
      </c>
      <c r="D13">
        <v>10000</v>
      </c>
      <c r="E13" t="s">
        <v>217</v>
      </c>
      <c r="G13">
        <v>2</v>
      </c>
      <c r="H13">
        <v>0</v>
      </c>
      <c r="I13" t="s">
        <v>387</v>
      </c>
    </row>
    <row r="14" spans="1:10" x14ac:dyDescent="0.25">
      <c r="A14" t="s">
        <v>25</v>
      </c>
      <c r="B14" t="s">
        <v>26</v>
      </c>
      <c r="C14">
        <v>1</v>
      </c>
      <c r="D14">
        <v>10000</v>
      </c>
      <c r="E14" t="s">
        <v>343</v>
      </c>
      <c r="G14">
        <v>2</v>
      </c>
      <c r="H14">
        <v>0</v>
      </c>
      <c r="J14" t="s">
        <v>351</v>
      </c>
    </row>
    <row r="15" spans="1:10" x14ac:dyDescent="0.25">
      <c r="A15" t="s">
        <v>27</v>
      </c>
      <c r="B15" t="s">
        <v>28</v>
      </c>
      <c r="C15">
        <v>0.9</v>
      </c>
      <c r="D15">
        <v>10900</v>
      </c>
      <c r="E15" t="s">
        <v>344</v>
      </c>
      <c r="G15">
        <v>1</v>
      </c>
      <c r="H15">
        <v>0</v>
      </c>
      <c r="J15" t="s">
        <v>351</v>
      </c>
    </row>
    <row r="16" spans="1:10" x14ac:dyDescent="0.25">
      <c r="A16" t="s">
        <v>107</v>
      </c>
      <c r="B16" t="s">
        <v>29</v>
      </c>
      <c r="C16">
        <f>5/7.4*25/50</f>
        <v>0.33783783783783783</v>
      </c>
      <c r="D16">
        <v>6500</v>
      </c>
      <c r="E16" t="s">
        <v>342</v>
      </c>
      <c r="G16">
        <v>6</v>
      </c>
      <c r="H16">
        <v>0</v>
      </c>
      <c r="J16" t="s">
        <v>351</v>
      </c>
    </row>
    <row r="17" spans="1:10" x14ac:dyDescent="0.25">
      <c r="A17" t="s">
        <v>30</v>
      </c>
      <c r="B17" t="s">
        <v>28</v>
      </c>
      <c r="C17">
        <v>1</v>
      </c>
      <c r="D17">
        <v>6900</v>
      </c>
      <c r="E17" t="s">
        <v>385</v>
      </c>
      <c r="G17">
        <v>2</v>
      </c>
      <c r="H17">
        <v>0</v>
      </c>
      <c r="I17" t="s">
        <v>352</v>
      </c>
      <c r="J17" t="s">
        <v>351</v>
      </c>
    </row>
    <row r="18" spans="1:10" x14ac:dyDescent="0.25">
      <c r="A18" t="s">
        <v>32</v>
      </c>
      <c r="B18" t="s">
        <v>33</v>
      </c>
      <c r="C18">
        <v>0.5</v>
      </c>
      <c r="D18" t="s">
        <v>99</v>
      </c>
      <c r="E18" t="s">
        <v>345</v>
      </c>
      <c r="G18">
        <v>5</v>
      </c>
      <c r="H18">
        <v>0</v>
      </c>
      <c r="J18" t="s">
        <v>363</v>
      </c>
    </row>
    <row r="19" spans="1:10" x14ac:dyDescent="0.25">
      <c r="A19" t="s">
        <v>34</v>
      </c>
      <c r="B19" t="s">
        <v>35</v>
      </c>
      <c r="C19">
        <v>0</v>
      </c>
      <c r="D19">
        <v>0</v>
      </c>
      <c r="E19" t="s">
        <v>55</v>
      </c>
      <c r="F19" t="s">
        <v>211</v>
      </c>
      <c r="G19">
        <v>2</v>
      </c>
      <c r="H19">
        <v>0</v>
      </c>
      <c r="J19" t="s">
        <v>351</v>
      </c>
    </row>
    <row r="20" spans="1:10" x14ac:dyDescent="0.25">
      <c r="A20" t="s">
        <v>37</v>
      </c>
      <c r="B20" t="s">
        <v>13</v>
      </c>
      <c r="C20">
        <v>1</v>
      </c>
      <c r="D20">
        <v>8000</v>
      </c>
      <c r="E20" t="s">
        <v>170</v>
      </c>
      <c r="G20">
        <v>4</v>
      </c>
      <c r="H20">
        <f>40/220</f>
        <v>0.18181818181818182</v>
      </c>
      <c r="J20" t="s">
        <v>225</v>
      </c>
    </row>
    <row r="21" spans="1:10" x14ac:dyDescent="0.25">
      <c r="A21" t="s">
        <v>143</v>
      </c>
      <c r="B21" t="s">
        <v>144</v>
      </c>
      <c r="C21">
        <v>0.2</v>
      </c>
      <c r="D21">
        <v>5500</v>
      </c>
      <c r="E21" t="s">
        <v>388</v>
      </c>
      <c r="F21" t="s">
        <v>391</v>
      </c>
      <c r="G21">
        <v>1</v>
      </c>
      <c r="H21">
        <v>0</v>
      </c>
      <c r="J21" t="s">
        <v>364</v>
      </c>
    </row>
    <row r="22" spans="1:10" x14ac:dyDescent="0.25">
      <c r="A22" t="s">
        <v>38</v>
      </c>
      <c r="B22" t="s">
        <v>39</v>
      </c>
      <c r="C22">
        <v>0.75</v>
      </c>
      <c r="D22">
        <v>6000</v>
      </c>
      <c r="F22" t="s">
        <v>399</v>
      </c>
      <c r="G22">
        <v>1</v>
      </c>
      <c r="H22">
        <v>0</v>
      </c>
      <c r="I22" t="s">
        <v>407</v>
      </c>
      <c r="J22" t="s">
        <v>351</v>
      </c>
    </row>
    <row r="23" spans="1:10" x14ac:dyDescent="0.25">
      <c r="A23" t="s">
        <v>40</v>
      </c>
      <c r="B23" t="s">
        <v>28</v>
      </c>
      <c r="C23">
        <v>0.5</v>
      </c>
      <c r="D23">
        <v>7000</v>
      </c>
      <c r="E23" t="s">
        <v>384</v>
      </c>
      <c r="G23">
        <v>1</v>
      </c>
      <c r="H23">
        <v>0</v>
      </c>
      <c r="J23" t="s">
        <v>351</v>
      </c>
    </row>
    <row r="24" spans="1:10" x14ac:dyDescent="0.25">
      <c r="A24" t="s">
        <v>382</v>
      </c>
      <c r="B24" t="s">
        <v>41</v>
      </c>
      <c r="C24">
        <v>1</v>
      </c>
      <c r="D24">
        <v>6000</v>
      </c>
      <c r="E24" t="s">
        <v>57</v>
      </c>
      <c r="G24">
        <v>1</v>
      </c>
      <c r="H24">
        <f>120/Geometry_Raw!C24</f>
        <v>0.24</v>
      </c>
      <c r="I24" t="s">
        <v>366</v>
      </c>
      <c r="J24" t="s">
        <v>365</v>
      </c>
    </row>
    <row r="25" spans="1:10" x14ac:dyDescent="0.25">
      <c r="A25" t="s">
        <v>42</v>
      </c>
      <c r="B25" t="s">
        <v>43</v>
      </c>
      <c r="C25">
        <v>1</v>
      </c>
      <c r="D25">
        <v>8000</v>
      </c>
      <c r="E25" t="s">
        <v>346</v>
      </c>
      <c r="F25" t="s">
        <v>347</v>
      </c>
      <c r="G25">
        <v>1</v>
      </c>
      <c r="H25">
        <v>0</v>
      </c>
      <c r="J25" t="s">
        <v>351</v>
      </c>
    </row>
    <row r="26" spans="1:10" x14ac:dyDescent="0.25">
      <c r="A26" t="s">
        <v>44</v>
      </c>
      <c r="B26" t="s">
        <v>45</v>
      </c>
      <c r="C26">
        <v>0.9</v>
      </c>
      <c r="D26">
        <v>4500</v>
      </c>
      <c r="E26" t="s">
        <v>56</v>
      </c>
      <c r="F26" t="s">
        <v>59</v>
      </c>
      <c r="G26">
        <v>2</v>
      </c>
      <c r="H26">
        <v>1.6666666666666667</v>
      </c>
      <c r="I26" t="s">
        <v>86</v>
      </c>
      <c r="J26" t="s">
        <v>223</v>
      </c>
    </row>
    <row r="27" spans="1:10" x14ac:dyDescent="0.25">
      <c r="A27" t="s">
        <v>47</v>
      </c>
      <c r="B27" t="s">
        <v>48</v>
      </c>
      <c r="C27" s="2">
        <v>0.15</v>
      </c>
      <c r="D27">
        <v>8000</v>
      </c>
      <c r="E27" t="s">
        <v>49</v>
      </c>
      <c r="G27">
        <v>2</v>
      </c>
      <c r="H27">
        <v>0</v>
      </c>
      <c r="J27" t="s">
        <v>351</v>
      </c>
    </row>
    <row r="28" spans="1:10" x14ac:dyDescent="0.25">
      <c r="A28" t="s">
        <v>60</v>
      </c>
      <c r="B28" t="s">
        <v>33</v>
      </c>
      <c r="C28">
        <v>0.5</v>
      </c>
      <c r="D28">
        <v>6000</v>
      </c>
      <c r="E28" t="s">
        <v>61</v>
      </c>
      <c r="G28">
        <v>1</v>
      </c>
      <c r="H28">
        <v>0</v>
      </c>
      <c r="J28" t="s">
        <v>351</v>
      </c>
    </row>
    <row r="29" spans="1:10" x14ac:dyDescent="0.25">
      <c r="A29" t="s">
        <v>62</v>
      </c>
      <c r="B29" t="s">
        <v>33</v>
      </c>
      <c r="C29">
        <v>0.4</v>
      </c>
      <c r="D29">
        <v>6000</v>
      </c>
      <c r="E29" t="s">
        <v>61</v>
      </c>
      <c r="G29">
        <v>2</v>
      </c>
      <c r="H29">
        <v>0</v>
      </c>
      <c r="J29" t="s">
        <v>351</v>
      </c>
    </row>
    <row r="30" spans="1:10" x14ac:dyDescent="0.25">
      <c r="A30" t="s">
        <v>74</v>
      </c>
      <c r="B30" t="s">
        <v>76</v>
      </c>
      <c r="C30" t="s">
        <v>99</v>
      </c>
      <c r="D30" t="s">
        <v>99</v>
      </c>
      <c r="G30">
        <v>2</v>
      </c>
      <c r="H30" t="s">
        <v>99</v>
      </c>
    </row>
    <row r="31" spans="1:10" x14ac:dyDescent="0.25">
      <c r="A31" t="s">
        <v>80</v>
      </c>
      <c r="B31" t="s">
        <v>81</v>
      </c>
      <c r="C31">
        <v>0.3</v>
      </c>
      <c r="D31">
        <v>5500</v>
      </c>
      <c r="E31" t="s">
        <v>389</v>
      </c>
      <c r="G31">
        <v>14</v>
      </c>
      <c r="H31">
        <v>0</v>
      </c>
      <c r="J31" t="s">
        <v>351</v>
      </c>
    </row>
    <row r="32" spans="1:10" x14ac:dyDescent="0.25">
      <c r="A32" t="s">
        <v>378</v>
      </c>
      <c r="B32" t="s">
        <v>152</v>
      </c>
      <c r="C32">
        <f>80/270</f>
        <v>0.29629629629629628</v>
      </c>
      <c r="D32">
        <v>9300</v>
      </c>
      <c r="E32" t="s">
        <v>210</v>
      </c>
      <c r="G32">
        <v>4</v>
      </c>
      <c r="H32">
        <f>100/Geometry_Raw!C32</f>
        <v>0.37037037037037035</v>
      </c>
      <c r="J32" t="s">
        <v>367</v>
      </c>
    </row>
    <row r="33" spans="1:10" x14ac:dyDescent="0.25">
      <c r="A33" t="s">
        <v>160</v>
      </c>
      <c r="B33" t="s">
        <v>161</v>
      </c>
      <c r="C33">
        <f>30/164</f>
        <v>0.18292682926829268</v>
      </c>
      <c r="D33">
        <v>8000</v>
      </c>
      <c r="E33" t="s">
        <v>168</v>
      </c>
      <c r="F33" t="s">
        <v>169</v>
      </c>
      <c r="G33">
        <v>1</v>
      </c>
      <c r="H33">
        <f>35/Geometry_Raw!C33</f>
        <v>0.21341463414634146</v>
      </c>
      <c r="I33" t="s">
        <v>369</v>
      </c>
      <c r="J33" t="s">
        <v>368</v>
      </c>
    </row>
    <row r="34" spans="1:10" x14ac:dyDescent="0.25">
      <c r="A34" t="s">
        <v>348</v>
      </c>
      <c r="B34" t="s">
        <v>349</v>
      </c>
      <c r="C34">
        <v>0</v>
      </c>
      <c r="D34">
        <v>0</v>
      </c>
      <c r="E34" t="s">
        <v>390</v>
      </c>
      <c r="F34" t="s">
        <v>350</v>
      </c>
      <c r="G34">
        <v>1</v>
      </c>
      <c r="H34">
        <f>40/Geometry_Raw!C34</f>
        <v>0.61538461538461542</v>
      </c>
      <c r="I34" t="s">
        <v>359</v>
      </c>
      <c r="J34" t="s">
        <v>223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9A5B0-DBE8-48A0-8E4E-75422772F37C}">
  <dimension ref="A1:X50"/>
  <sheetViews>
    <sheetView zoomScaleNormal="100" workbookViewId="0">
      <pane xSplit="1" ySplit="2" topLeftCell="E24" activePane="bottomRight" state="frozen"/>
      <selection pane="topRight" activeCell="B1" sqref="B1"/>
      <selection pane="bottomLeft" activeCell="A3" sqref="A3"/>
      <selection pane="bottomRight" activeCell="O50" sqref="O50"/>
    </sheetView>
  </sheetViews>
  <sheetFormatPr defaultRowHeight="15" x14ac:dyDescent="0.25"/>
  <cols>
    <col min="1" max="1" width="19.85546875" bestFit="1" customWidth="1"/>
    <col min="2" max="2" width="13.85546875" customWidth="1"/>
    <col min="3" max="3" width="9.85546875" style="3" customWidth="1"/>
    <col min="4" max="4" width="10.140625" style="3" customWidth="1"/>
    <col min="5" max="7" width="9.85546875" style="3" customWidth="1"/>
    <col min="8" max="8" width="10.5703125" style="3" customWidth="1"/>
    <col min="9" max="10" width="11.5703125" customWidth="1"/>
    <col min="11" max="11" width="5.85546875" customWidth="1"/>
    <col min="12" max="12" width="5.28515625" customWidth="1"/>
    <col min="13" max="13" width="13.7109375" style="2" bestFit="1" customWidth="1"/>
    <col min="14" max="14" width="14" style="2" bestFit="1" customWidth="1"/>
    <col min="15" max="15" width="9.7109375" style="3" customWidth="1"/>
    <col min="16" max="16" width="9" customWidth="1"/>
    <col min="17" max="18" width="10.28515625" customWidth="1"/>
    <col min="19" max="19" width="16.42578125" bestFit="1" customWidth="1"/>
    <col min="20" max="20" width="16.7109375" bestFit="1" customWidth="1"/>
    <col min="21" max="21" width="18.5703125" bestFit="1" customWidth="1"/>
    <col min="22" max="22" width="7" customWidth="1"/>
    <col min="23" max="23" width="20.85546875" customWidth="1"/>
    <col min="24" max="24" width="7.85546875" customWidth="1"/>
    <col min="25" max="25" width="25.7109375" bestFit="1" customWidth="1"/>
    <col min="26" max="26" width="194.85546875" bestFit="1" customWidth="1"/>
  </cols>
  <sheetData>
    <row r="1" spans="1:24" x14ac:dyDescent="0.25">
      <c r="A1" s="1" t="s">
        <v>0</v>
      </c>
      <c r="B1" s="1" t="s">
        <v>1</v>
      </c>
      <c r="C1" s="5" t="s">
        <v>137</v>
      </c>
      <c r="D1" s="5" t="s">
        <v>139</v>
      </c>
      <c r="E1" s="5" t="s">
        <v>140</v>
      </c>
      <c r="F1" s="5" t="s">
        <v>141</v>
      </c>
      <c r="G1" s="5" t="s">
        <v>259</v>
      </c>
      <c r="H1" s="1" t="s">
        <v>197</v>
      </c>
      <c r="I1" s="1" t="s">
        <v>198</v>
      </c>
      <c r="J1" s="1" t="s">
        <v>196</v>
      </c>
      <c r="K1" s="6" t="s">
        <v>126</v>
      </c>
      <c r="L1" s="6" t="s">
        <v>127</v>
      </c>
      <c r="M1" s="5" t="s">
        <v>92</v>
      </c>
      <c r="N1" s="5" t="s">
        <v>93</v>
      </c>
      <c r="O1" s="1" t="s">
        <v>381</v>
      </c>
      <c r="P1" s="1" t="s">
        <v>380</v>
      </c>
      <c r="Q1" s="1" t="s">
        <v>265</v>
      </c>
      <c r="R1" s="1" t="s">
        <v>266</v>
      </c>
      <c r="S1" s="1" t="s">
        <v>176</v>
      </c>
      <c r="T1" s="1" t="s">
        <v>175</v>
      </c>
      <c r="U1" s="1" t="s">
        <v>89</v>
      </c>
      <c r="V1" s="1" t="s">
        <v>118</v>
      </c>
      <c r="W1" s="1" t="s">
        <v>67</v>
      </c>
      <c r="X1" s="1" t="s">
        <v>58</v>
      </c>
    </row>
    <row r="2" spans="1:24" x14ac:dyDescent="0.25">
      <c r="C2" s="5" t="s">
        <v>138</v>
      </c>
      <c r="D2" s="5" t="s">
        <v>138</v>
      </c>
      <c r="E2" s="5" t="s">
        <v>138</v>
      </c>
      <c r="F2" s="5" t="s">
        <v>138</v>
      </c>
      <c r="G2" s="5" t="s">
        <v>4</v>
      </c>
      <c r="H2" s="1" t="s">
        <v>142</v>
      </c>
      <c r="I2" s="1" t="s">
        <v>142</v>
      </c>
      <c r="J2" s="1" t="s">
        <v>4</v>
      </c>
      <c r="K2" s="6" t="s">
        <v>4</v>
      </c>
      <c r="L2" s="6" t="s">
        <v>4</v>
      </c>
      <c r="M2" s="5" t="s">
        <v>138</v>
      </c>
      <c r="N2" s="1" t="s">
        <v>138</v>
      </c>
      <c r="O2" s="1" t="s">
        <v>401</v>
      </c>
      <c r="P2" s="1" t="s">
        <v>401</v>
      </c>
      <c r="Q2" s="1" t="s">
        <v>264</v>
      </c>
      <c r="R2" s="1" t="s">
        <v>264</v>
      </c>
      <c r="S2" s="1"/>
      <c r="T2" s="1"/>
      <c r="U2" s="1"/>
      <c r="V2" s="1" t="s">
        <v>154</v>
      </c>
    </row>
    <row r="3" spans="1:24" x14ac:dyDescent="0.25">
      <c r="A3" t="s">
        <v>5</v>
      </c>
      <c r="B3" t="s">
        <v>6</v>
      </c>
      <c r="C3" s="3">
        <v>3.7</v>
      </c>
      <c r="D3" s="3">
        <v>17.8</v>
      </c>
      <c r="E3" s="3">
        <v>2.1E-7</v>
      </c>
      <c r="F3" s="3">
        <v>4.6499999999999999E-5</v>
      </c>
      <c r="G3" s="8">
        <v>1</v>
      </c>
      <c r="H3" s="3" t="s">
        <v>99</v>
      </c>
      <c r="I3" s="3" t="s">
        <v>99</v>
      </c>
      <c r="J3" s="8">
        <v>1</v>
      </c>
      <c r="K3" s="2" t="s">
        <v>99</v>
      </c>
      <c r="L3" s="2" t="s">
        <v>99</v>
      </c>
      <c r="M3" s="3" t="s">
        <v>99</v>
      </c>
      <c r="N3" s="3" t="s">
        <v>99</v>
      </c>
      <c r="O3" s="3" t="s">
        <v>99</v>
      </c>
      <c r="P3" s="3" t="s">
        <v>99</v>
      </c>
      <c r="Q3" s="3">
        <v>7.2999999999999999E-5</v>
      </c>
      <c r="R3" s="3">
        <v>5.0000000000000001E-4</v>
      </c>
      <c r="S3" s="3" t="s">
        <v>181</v>
      </c>
      <c r="T3" s="3" t="s">
        <v>185</v>
      </c>
      <c r="U3" t="s">
        <v>91</v>
      </c>
      <c r="V3">
        <v>600</v>
      </c>
      <c r="W3" t="s">
        <v>102</v>
      </c>
      <c r="X3" t="s">
        <v>88</v>
      </c>
    </row>
    <row r="4" spans="1:24" x14ac:dyDescent="0.25">
      <c r="A4" t="s">
        <v>5</v>
      </c>
      <c r="B4" t="s">
        <v>6</v>
      </c>
      <c r="C4" s="3">
        <v>50</v>
      </c>
      <c r="D4" s="3">
        <v>120</v>
      </c>
      <c r="E4" s="3">
        <v>5.0000000000000002E-5</v>
      </c>
      <c r="F4" s="3">
        <v>5.0000000000000001E-4</v>
      </c>
      <c r="G4" s="8">
        <v>1</v>
      </c>
      <c r="H4" t="s">
        <v>99</v>
      </c>
      <c r="I4" t="s">
        <v>99</v>
      </c>
      <c r="J4" s="8">
        <v>1</v>
      </c>
      <c r="K4" s="2" t="s">
        <v>99</v>
      </c>
      <c r="L4" s="2" t="s">
        <v>99</v>
      </c>
      <c r="M4" s="3">
        <f>0.03*1.191/365.25</f>
        <v>9.7823408624229968E-5</v>
      </c>
      <c r="N4" s="3">
        <f>0.03*1.191/365.25</f>
        <v>9.7823408624229968E-5</v>
      </c>
      <c r="O4" s="3" t="s">
        <v>99</v>
      </c>
      <c r="P4" s="3" t="s">
        <v>99</v>
      </c>
      <c r="Q4" s="3">
        <f>0.0001/30</f>
        <v>3.3333333333333333E-6</v>
      </c>
      <c r="R4" s="3">
        <f>0.003/30</f>
        <v>1E-4</v>
      </c>
      <c r="S4" s="3" t="s">
        <v>184</v>
      </c>
      <c r="T4" s="3" t="s">
        <v>182</v>
      </c>
      <c r="U4" t="s">
        <v>91</v>
      </c>
      <c r="V4">
        <v>600</v>
      </c>
      <c r="W4" t="s">
        <v>103</v>
      </c>
      <c r="X4" t="s">
        <v>194</v>
      </c>
    </row>
    <row r="5" spans="1:24" x14ac:dyDescent="0.25">
      <c r="A5" t="s">
        <v>14</v>
      </c>
      <c r="B5" t="s">
        <v>15</v>
      </c>
      <c r="C5" s="3">
        <f>0.0002*86400</f>
        <v>17.28</v>
      </c>
      <c r="D5" s="3">
        <f>0.0008*86400</f>
        <v>69.12</v>
      </c>
      <c r="E5" s="3">
        <f>0.00000001*86400</f>
        <v>8.6399999999999997E-4</v>
      </c>
      <c r="F5" s="3">
        <f>0.00000009*86400</f>
        <v>7.7759999999999999E-3</v>
      </c>
      <c r="G5" s="8">
        <v>1</v>
      </c>
      <c r="H5" t="s">
        <v>99</v>
      </c>
      <c r="I5" t="s">
        <v>99</v>
      </c>
      <c r="J5" s="8">
        <v>1</v>
      </c>
      <c r="K5" s="2" t="s">
        <v>99</v>
      </c>
      <c r="L5" s="2" t="s">
        <v>99</v>
      </c>
      <c r="M5" s="3" t="s">
        <v>99</v>
      </c>
      <c r="N5" s="3" t="s">
        <v>99</v>
      </c>
      <c r="O5" s="3" t="s">
        <v>99</v>
      </c>
      <c r="P5" s="3" t="s">
        <v>99</v>
      </c>
      <c r="Q5" s="3">
        <v>9.3999999999999994E-5</v>
      </c>
      <c r="R5" s="3">
        <v>9.3999999999999994E-5</v>
      </c>
      <c r="S5" s="3" t="s">
        <v>178</v>
      </c>
      <c r="T5" s="3" t="s">
        <v>180</v>
      </c>
      <c r="U5" t="s">
        <v>91</v>
      </c>
      <c r="V5">
        <v>2500</v>
      </c>
      <c r="W5" t="s">
        <v>95</v>
      </c>
      <c r="X5" t="s">
        <v>195</v>
      </c>
    </row>
    <row r="6" spans="1:24" x14ac:dyDescent="0.25">
      <c r="A6" t="s">
        <v>21</v>
      </c>
      <c r="B6" t="s">
        <v>22</v>
      </c>
      <c r="C6" s="3">
        <f>0.000001*86400</f>
        <v>8.6399999999999991E-2</v>
      </c>
      <c r="D6" s="3">
        <f>0.001*86400</f>
        <v>86.4</v>
      </c>
      <c r="E6" s="3" t="s">
        <v>99</v>
      </c>
      <c r="F6" s="3" t="s">
        <v>99</v>
      </c>
      <c r="G6" s="8" t="s">
        <v>99</v>
      </c>
      <c r="H6">
        <v>10</v>
      </c>
      <c r="I6">
        <v>10</v>
      </c>
      <c r="J6" s="8">
        <v>1</v>
      </c>
      <c r="K6" s="2">
        <v>0.25</v>
      </c>
      <c r="L6" s="2">
        <v>0.25</v>
      </c>
      <c r="M6" s="3">
        <f>0.155/365.25</f>
        <v>4.2436687200547572E-4</v>
      </c>
      <c r="N6" s="3">
        <f>0.155/365.25</f>
        <v>4.2436687200547572E-4</v>
      </c>
      <c r="O6" s="3" t="s">
        <v>99</v>
      </c>
      <c r="P6" s="3" t="s">
        <v>99</v>
      </c>
      <c r="Q6" s="3">
        <v>1.0000000000000001E-5</v>
      </c>
      <c r="R6" s="3">
        <v>1E-4</v>
      </c>
      <c r="S6" s="3" t="s">
        <v>184</v>
      </c>
      <c r="T6" s="3" t="s">
        <v>186</v>
      </c>
      <c r="U6" t="s">
        <v>90</v>
      </c>
      <c r="V6">
        <v>20</v>
      </c>
      <c r="W6" t="s">
        <v>97</v>
      </c>
      <c r="X6" t="s">
        <v>96</v>
      </c>
    </row>
    <row r="7" spans="1:24" x14ac:dyDescent="0.25">
      <c r="A7" t="s">
        <v>21</v>
      </c>
      <c r="B7" t="s">
        <v>22</v>
      </c>
      <c r="C7" s="3">
        <f>0.000001*86400</f>
        <v>8.6399999999999991E-2</v>
      </c>
      <c r="D7" s="3">
        <f>0.000005*86400</f>
        <v>0.43200000000000005</v>
      </c>
      <c r="E7" s="3">
        <f>0.0000000001*86400</f>
        <v>8.6400000000000003E-6</v>
      </c>
      <c r="F7" s="3">
        <f>0.00000001*86400</f>
        <v>8.6399999999999997E-4</v>
      </c>
      <c r="G7" s="8">
        <v>1</v>
      </c>
      <c r="H7">
        <v>10</v>
      </c>
      <c r="I7">
        <v>10</v>
      </c>
      <c r="J7" s="8">
        <v>1</v>
      </c>
      <c r="K7" s="2" t="s">
        <v>99</v>
      </c>
      <c r="L7" s="2" t="s">
        <v>99</v>
      </c>
      <c r="M7" s="3" t="s">
        <v>99</v>
      </c>
      <c r="N7" s="3" t="s">
        <v>99</v>
      </c>
      <c r="O7" s="3" t="s">
        <v>99</v>
      </c>
      <c r="P7" s="3" t="s">
        <v>99</v>
      </c>
      <c r="Q7" s="3" t="s">
        <v>99</v>
      </c>
      <c r="R7" s="3" t="s">
        <v>99</v>
      </c>
      <c r="S7" s="3" t="s">
        <v>183</v>
      </c>
      <c r="T7" s="3" t="s">
        <v>180</v>
      </c>
      <c r="U7" t="s">
        <v>99</v>
      </c>
      <c r="V7">
        <v>10000</v>
      </c>
      <c r="W7" t="s">
        <v>73</v>
      </c>
      <c r="X7" t="s">
        <v>98</v>
      </c>
    </row>
    <row r="8" spans="1:24" x14ac:dyDescent="0.25">
      <c r="A8" t="s">
        <v>23</v>
      </c>
      <c r="B8" t="s">
        <v>24</v>
      </c>
      <c r="C8" s="3" t="s">
        <v>99</v>
      </c>
      <c r="D8" s="3" t="s">
        <v>99</v>
      </c>
      <c r="E8" s="3" t="s">
        <v>99</v>
      </c>
      <c r="F8" s="3" t="s">
        <v>99</v>
      </c>
      <c r="G8" s="8" t="s">
        <v>99</v>
      </c>
      <c r="H8" t="s">
        <v>99</v>
      </c>
      <c r="I8" t="s">
        <v>99</v>
      </c>
      <c r="J8" s="8">
        <v>1</v>
      </c>
      <c r="K8" s="2">
        <v>0.3</v>
      </c>
      <c r="L8" s="2">
        <v>0.3</v>
      </c>
      <c r="M8" s="3">
        <f>25000*1000000*0.001/(850*1000000)/365.25</f>
        <v>8.0525023150944153E-5</v>
      </c>
      <c r="N8" s="3">
        <f>250000*1000000*0.001/(850*1000000)/365.25</f>
        <v>8.0525023150944158E-4</v>
      </c>
      <c r="O8" s="3" t="s">
        <v>99</v>
      </c>
      <c r="P8" s="3" t="s">
        <v>99</v>
      </c>
      <c r="Q8" s="3" t="s">
        <v>99</v>
      </c>
      <c r="R8" s="3" t="s">
        <v>99</v>
      </c>
      <c r="S8" s="3" t="s">
        <v>99</v>
      </c>
      <c r="T8" s="3" t="s">
        <v>99</v>
      </c>
      <c r="U8" t="s">
        <v>90</v>
      </c>
      <c r="V8">
        <v>100</v>
      </c>
      <c r="W8" t="s">
        <v>100</v>
      </c>
      <c r="X8" t="s">
        <v>192</v>
      </c>
    </row>
    <row r="9" spans="1:24" x14ac:dyDescent="0.25">
      <c r="A9" t="s">
        <v>23</v>
      </c>
      <c r="B9" t="s">
        <v>24</v>
      </c>
      <c r="C9" s="3">
        <v>10</v>
      </c>
      <c r="D9" s="3">
        <v>200</v>
      </c>
      <c r="E9" s="3" t="s">
        <v>99</v>
      </c>
      <c r="F9" s="3" t="s">
        <v>99</v>
      </c>
      <c r="G9" s="8" t="s">
        <v>99</v>
      </c>
      <c r="H9">
        <v>1</v>
      </c>
      <c r="I9">
        <v>1</v>
      </c>
      <c r="J9" s="8">
        <v>1</v>
      </c>
      <c r="K9" s="2">
        <v>0.3</v>
      </c>
      <c r="L9" s="2">
        <v>0.3</v>
      </c>
      <c r="M9" s="3" t="s">
        <v>99</v>
      </c>
      <c r="N9" s="3" t="s">
        <v>99</v>
      </c>
      <c r="O9" s="3" t="s">
        <v>99</v>
      </c>
      <c r="P9" s="3" t="s">
        <v>99</v>
      </c>
      <c r="Q9" s="3" t="s">
        <v>99</v>
      </c>
      <c r="R9" s="3" t="s">
        <v>99</v>
      </c>
      <c r="S9" s="3" t="s">
        <v>177</v>
      </c>
      <c r="T9" s="3" t="s">
        <v>179</v>
      </c>
      <c r="U9" t="s">
        <v>90</v>
      </c>
      <c r="V9">
        <v>50</v>
      </c>
      <c r="W9" t="s">
        <v>101</v>
      </c>
      <c r="X9" t="s">
        <v>263</v>
      </c>
    </row>
    <row r="10" spans="1:24" x14ac:dyDescent="0.25">
      <c r="A10" t="s">
        <v>9</v>
      </c>
      <c r="B10" t="s">
        <v>10</v>
      </c>
      <c r="C10" s="3">
        <f>0.01*86400*0.01</f>
        <v>8.64</v>
      </c>
      <c r="D10" s="3">
        <f>0.01*86400*0.01</f>
        <v>8.64</v>
      </c>
      <c r="E10" s="3">
        <f>0.00000001*86400*0.01</f>
        <v>8.6400000000000003E-6</v>
      </c>
      <c r="F10" s="3">
        <f>0.0000001*86400*0.01</f>
        <v>8.6399999999999999E-5</v>
      </c>
      <c r="G10" s="8">
        <v>0</v>
      </c>
      <c r="H10" t="s">
        <v>99</v>
      </c>
      <c r="I10" t="s">
        <v>99</v>
      </c>
      <c r="J10" s="8">
        <v>1</v>
      </c>
      <c r="K10" s="2" t="s">
        <v>99</v>
      </c>
      <c r="L10" s="2" t="s">
        <v>99</v>
      </c>
      <c r="M10" s="3" t="s">
        <v>99</v>
      </c>
      <c r="N10" s="3" t="s">
        <v>99</v>
      </c>
      <c r="O10" s="3" t="s">
        <v>99</v>
      </c>
      <c r="P10" s="3" t="s">
        <v>99</v>
      </c>
      <c r="Q10" s="3" t="s">
        <v>99</v>
      </c>
      <c r="R10" s="3" t="s">
        <v>99</v>
      </c>
      <c r="S10" s="3" t="s">
        <v>177</v>
      </c>
      <c r="T10" s="3" t="s">
        <v>182</v>
      </c>
      <c r="U10" t="s">
        <v>99</v>
      </c>
      <c r="V10">
        <v>50</v>
      </c>
      <c r="W10" t="s">
        <v>104</v>
      </c>
      <c r="X10" t="s">
        <v>260</v>
      </c>
    </row>
    <row r="11" spans="1:24" x14ac:dyDescent="0.25">
      <c r="A11" t="s">
        <v>60</v>
      </c>
      <c r="B11" t="s">
        <v>33</v>
      </c>
      <c r="C11" s="3">
        <v>15.353999999999999</v>
      </c>
      <c r="D11" s="3">
        <v>15.353999999999999</v>
      </c>
      <c r="E11" s="3" t="s">
        <v>99</v>
      </c>
      <c r="F11" s="3" t="s">
        <v>99</v>
      </c>
      <c r="G11" s="8" t="s">
        <v>99</v>
      </c>
      <c r="H11" t="s">
        <v>99</v>
      </c>
      <c r="I11" t="s">
        <v>99</v>
      </c>
      <c r="J11" s="8">
        <v>1</v>
      </c>
      <c r="K11" s="2" t="s">
        <v>99</v>
      </c>
      <c r="L11" s="2" t="s">
        <v>99</v>
      </c>
      <c r="M11" s="3" t="s">
        <v>99</v>
      </c>
      <c r="N11" s="3" t="s">
        <v>99</v>
      </c>
      <c r="O11" s="3" t="s">
        <v>99</v>
      </c>
      <c r="P11" s="3" t="s">
        <v>99</v>
      </c>
      <c r="Q11" s="3" t="s">
        <v>99</v>
      </c>
      <c r="R11" s="3" t="s">
        <v>99</v>
      </c>
      <c r="S11" s="3" t="s">
        <v>99</v>
      </c>
      <c r="T11" s="3" t="s">
        <v>99</v>
      </c>
      <c r="U11" t="s">
        <v>99</v>
      </c>
      <c r="V11" s="3" t="s">
        <v>99</v>
      </c>
      <c r="W11" t="s">
        <v>105</v>
      </c>
    </row>
    <row r="12" spans="1:24" x14ac:dyDescent="0.25">
      <c r="A12" t="s">
        <v>62</v>
      </c>
      <c r="B12" t="s">
        <v>33</v>
      </c>
      <c r="C12" s="3">
        <v>15.353999999999999</v>
      </c>
      <c r="D12" s="3">
        <v>15.353999999999999</v>
      </c>
      <c r="E12" s="3" t="s">
        <v>99</v>
      </c>
      <c r="F12" s="3" t="s">
        <v>99</v>
      </c>
      <c r="G12" s="8" t="s">
        <v>99</v>
      </c>
      <c r="H12" t="s">
        <v>99</v>
      </c>
      <c r="I12" t="s">
        <v>99</v>
      </c>
      <c r="J12" s="8">
        <v>1</v>
      </c>
      <c r="K12" s="2" t="s">
        <v>99</v>
      </c>
      <c r="L12" s="2" t="s">
        <v>99</v>
      </c>
      <c r="M12" s="3" t="s">
        <v>99</v>
      </c>
      <c r="N12" s="3" t="s">
        <v>99</v>
      </c>
      <c r="O12" s="3" t="s">
        <v>99</v>
      </c>
      <c r="P12" s="3" t="s">
        <v>99</v>
      </c>
      <c r="Q12" s="3" t="s">
        <v>99</v>
      </c>
      <c r="R12" s="3" t="s">
        <v>99</v>
      </c>
      <c r="S12" s="3" t="s">
        <v>99</v>
      </c>
      <c r="T12" s="3" t="s">
        <v>99</v>
      </c>
      <c r="U12" t="s">
        <v>99</v>
      </c>
      <c r="V12" s="3" t="s">
        <v>99</v>
      </c>
      <c r="W12" t="s">
        <v>105</v>
      </c>
    </row>
    <row r="13" spans="1:24" x14ac:dyDescent="0.25">
      <c r="A13" t="s">
        <v>107</v>
      </c>
      <c r="B13" t="s">
        <v>29</v>
      </c>
      <c r="C13" s="3">
        <f>0.001*0.01*86400</f>
        <v>0.8640000000000001</v>
      </c>
      <c r="D13" s="3">
        <f>0.001*0.01*86400</f>
        <v>0.8640000000000001</v>
      </c>
      <c r="E13" s="3">
        <f>0.00001*0.01*86400</f>
        <v>8.6400000000000001E-3</v>
      </c>
      <c r="F13" s="3">
        <f>0.00001*0.01*86400</f>
        <v>8.6400000000000001E-3</v>
      </c>
      <c r="G13" s="8">
        <v>1</v>
      </c>
      <c r="H13" t="s">
        <v>99</v>
      </c>
      <c r="I13" t="s">
        <v>99</v>
      </c>
      <c r="J13" s="8">
        <v>1</v>
      </c>
      <c r="K13" s="2" t="s">
        <v>99</v>
      </c>
      <c r="L13" s="2" t="s">
        <v>99</v>
      </c>
      <c r="M13" s="3" t="s">
        <v>99</v>
      </c>
      <c r="N13" s="3" t="s">
        <v>99</v>
      </c>
      <c r="O13" s="3" t="s">
        <v>99</v>
      </c>
      <c r="P13" s="3" t="s">
        <v>99</v>
      </c>
      <c r="Q13" s="3" t="s">
        <v>99</v>
      </c>
      <c r="R13" s="3" t="s">
        <v>99</v>
      </c>
      <c r="S13" s="3" t="s">
        <v>99</v>
      </c>
      <c r="T13" s="3" t="s">
        <v>99</v>
      </c>
      <c r="U13" t="s">
        <v>99</v>
      </c>
      <c r="V13">
        <v>140</v>
      </c>
      <c r="W13" t="s">
        <v>108</v>
      </c>
    </row>
    <row r="14" spans="1:24" x14ac:dyDescent="0.25">
      <c r="A14" t="s">
        <v>44</v>
      </c>
      <c r="B14" t="s">
        <v>45</v>
      </c>
      <c r="C14" s="3">
        <f>0.000017*86400</f>
        <v>1.4687999999999999</v>
      </c>
      <c r="D14" s="3">
        <f>0.0022*86400</f>
        <v>190.08</v>
      </c>
      <c r="E14" s="3" t="s">
        <v>99</v>
      </c>
      <c r="F14" s="3" t="s">
        <v>99</v>
      </c>
      <c r="G14" s="8" t="s">
        <v>99</v>
      </c>
      <c r="H14" t="s">
        <v>99</v>
      </c>
      <c r="I14" t="s">
        <v>99</v>
      </c>
      <c r="J14" s="8">
        <v>1</v>
      </c>
      <c r="K14" s="2" t="s">
        <v>99</v>
      </c>
      <c r="L14" s="2" t="s">
        <v>99</v>
      </c>
      <c r="M14" s="3">
        <v>0</v>
      </c>
      <c r="N14" s="3" t="s">
        <v>99</v>
      </c>
      <c r="O14" s="3" t="s">
        <v>99</v>
      </c>
      <c r="P14" s="3" t="s">
        <v>99</v>
      </c>
      <c r="Q14" s="3" t="s">
        <v>99</v>
      </c>
      <c r="R14" s="3" t="s">
        <v>99</v>
      </c>
      <c r="S14" s="3" t="s">
        <v>99</v>
      </c>
      <c r="T14" s="3" t="s">
        <v>99</v>
      </c>
      <c r="U14" t="s">
        <v>90</v>
      </c>
      <c r="V14">
        <v>80</v>
      </c>
      <c r="W14" t="s">
        <v>46</v>
      </c>
      <c r="X14" t="s">
        <v>110</v>
      </c>
    </row>
    <row r="15" spans="1:24" x14ac:dyDescent="0.25">
      <c r="A15" t="s">
        <v>38</v>
      </c>
      <c r="B15" t="s">
        <v>39</v>
      </c>
      <c r="C15" s="3">
        <f>0.00517*86400/250</f>
        <v>1.7867519999999999</v>
      </c>
      <c r="D15" s="3">
        <f>0.122*86400/250</f>
        <v>42.163199999999996</v>
      </c>
      <c r="E15" s="3" t="s">
        <v>99</v>
      </c>
      <c r="F15" s="3" t="s">
        <v>99</v>
      </c>
      <c r="G15" s="8" t="s">
        <v>99</v>
      </c>
      <c r="H15" t="s">
        <v>99</v>
      </c>
      <c r="I15" t="s">
        <v>99</v>
      </c>
      <c r="J15" s="8">
        <v>1</v>
      </c>
      <c r="K15" s="2" t="s">
        <v>99</v>
      </c>
      <c r="L15" s="2" t="s">
        <v>99</v>
      </c>
      <c r="M15" s="3">
        <f>0.015/365.25</f>
        <v>4.1067761806981516E-5</v>
      </c>
      <c r="N15" s="3">
        <f>0.015/365.25</f>
        <v>4.1067761806981516E-5</v>
      </c>
      <c r="O15" s="3" t="s">
        <v>99</v>
      </c>
      <c r="P15" s="3" t="s">
        <v>99</v>
      </c>
      <c r="Q15" s="3">
        <f>0.003/250</f>
        <v>1.2E-5</v>
      </c>
      <c r="R15" s="3">
        <f>0.263/250</f>
        <v>1.052E-3</v>
      </c>
      <c r="S15" s="3" t="s">
        <v>184</v>
      </c>
      <c r="T15" s="3" t="s">
        <v>186</v>
      </c>
      <c r="U15" t="s">
        <v>91</v>
      </c>
      <c r="V15">
        <v>250</v>
      </c>
      <c r="W15" t="s">
        <v>109</v>
      </c>
      <c r="X15" t="s">
        <v>111</v>
      </c>
    </row>
    <row r="16" spans="1:24" x14ac:dyDescent="0.25">
      <c r="A16" t="s">
        <v>16</v>
      </c>
      <c r="B16" t="s">
        <v>10</v>
      </c>
      <c r="C16" s="3">
        <v>1.8</v>
      </c>
      <c r="D16" s="3">
        <v>200</v>
      </c>
      <c r="E16" s="3" t="s">
        <v>99</v>
      </c>
      <c r="F16" s="3" t="s">
        <v>99</v>
      </c>
      <c r="G16" s="8" t="s">
        <v>99</v>
      </c>
      <c r="H16">
        <v>10000</v>
      </c>
      <c r="I16">
        <v>10000</v>
      </c>
      <c r="J16" s="8">
        <v>0</v>
      </c>
      <c r="K16" s="2">
        <v>0.25</v>
      </c>
      <c r="L16" s="2">
        <v>0.25</v>
      </c>
      <c r="M16" s="3" t="s">
        <v>99</v>
      </c>
      <c r="N16" s="3" t="s">
        <v>99</v>
      </c>
      <c r="O16" s="3" t="s">
        <v>99</v>
      </c>
      <c r="P16" s="3" t="s">
        <v>99</v>
      </c>
      <c r="Q16" s="3" t="s">
        <v>99</v>
      </c>
      <c r="R16" s="3" t="s">
        <v>99</v>
      </c>
      <c r="S16" s="3" t="s">
        <v>182</v>
      </c>
      <c r="T16" s="3" t="s">
        <v>182</v>
      </c>
      <c r="U16" t="s">
        <v>91</v>
      </c>
      <c r="V16">
        <v>1000</v>
      </c>
      <c r="W16" t="s">
        <v>115</v>
      </c>
      <c r="X16" t="s">
        <v>113</v>
      </c>
    </row>
    <row r="17" spans="1:24" x14ac:dyDescent="0.25">
      <c r="A17" t="s">
        <v>42</v>
      </c>
      <c r="B17" t="s">
        <v>112</v>
      </c>
      <c r="C17" s="3">
        <v>0.3</v>
      </c>
      <c r="D17" s="3">
        <v>43</v>
      </c>
      <c r="E17" s="3">
        <f>0.04/H17</f>
        <v>4.0000000000000001E-3</v>
      </c>
      <c r="F17" s="3">
        <f>0.04/I17</f>
        <v>4.0000000000000001E-3</v>
      </c>
      <c r="G17" s="8">
        <v>1</v>
      </c>
      <c r="H17">
        <v>10</v>
      </c>
      <c r="I17">
        <v>10</v>
      </c>
      <c r="J17" s="8">
        <v>1</v>
      </c>
      <c r="K17" s="2">
        <v>0.3</v>
      </c>
      <c r="L17" s="2">
        <v>0.3</v>
      </c>
      <c r="M17" s="3">
        <v>1.3999999999999999E-4</v>
      </c>
      <c r="N17" s="3">
        <v>5.9999999999999995E-4</v>
      </c>
      <c r="O17" s="3" t="s">
        <v>99</v>
      </c>
      <c r="P17" s="3" t="s">
        <v>99</v>
      </c>
      <c r="Q17" s="3">
        <v>1.4999999999999999E-7</v>
      </c>
      <c r="R17" s="3">
        <v>1.4999999999999999E-7</v>
      </c>
      <c r="S17" s="3" t="s">
        <v>177</v>
      </c>
      <c r="T17" s="3" t="s">
        <v>185</v>
      </c>
      <c r="U17" t="s">
        <v>91</v>
      </c>
      <c r="V17">
        <v>5000</v>
      </c>
      <c r="W17" t="s">
        <v>114</v>
      </c>
      <c r="X17" t="s">
        <v>111</v>
      </c>
    </row>
    <row r="18" spans="1:24" x14ac:dyDescent="0.25">
      <c r="A18" t="s">
        <v>42</v>
      </c>
      <c r="B18" t="s">
        <v>112</v>
      </c>
      <c r="C18" s="3">
        <f>32*0.3048</f>
        <v>9.7536000000000005</v>
      </c>
      <c r="D18" s="3">
        <f>374*0.3048</f>
        <v>113.99520000000001</v>
      </c>
      <c r="E18" s="3" t="s">
        <v>99</v>
      </c>
      <c r="F18" s="3" t="s">
        <v>99</v>
      </c>
      <c r="G18" s="8" t="s">
        <v>99</v>
      </c>
      <c r="H18" t="s">
        <v>99</v>
      </c>
      <c r="I18" t="s">
        <v>99</v>
      </c>
      <c r="J18" s="8">
        <v>1</v>
      </c>
      <c r="K18" s="2" t="s">
        <v>99</v>
      </c>
      <c r="L18" s="2" t="s">
        <v>99</v>
      </c>
      <c r="M18" s="3" t="s">
        <v>99</v>
      </c>
      <c r="N18" s="3" t="s">
        <v>99</v>
      </c>
      <c r="O18" s="3" t="s">
        <v>99</v>
      </c>
      <c r="P18" s="3" t="s">
        <v>99</v>
      </c>
      <c r="Q18" s="3" t="s">
        <v>99</v>
      </c>
      <c r="R18" s="3" t="s">
        <v>99</v>
      </c>
      <c r="S18" s="3" t="s">
        <v>177</v>
      </c>
      <c r="T18" s="3" t="s">
        <v>187</v>
      </c>
      <c r="U18" t="s">
        <v>91</v>
      </c>
      <c r="V18">
        <v>1000</v>
      </c>
      <c r="W18" t="s">
        <v>79</v>
      </c>
      <c r="X18" t="s">
        <v>117</v>
      </c>
    </row>
    <row r="19" spans="1:24" x14ac:dyDescent="0.25">
      <c r="A19" t="s">
        <v>80</v>
      </c>
      <c r="B19" t="s">
        <v>81</v>
      </c>
      <c r="C19" s="3">
        <f>0.0105/50*86400</f>
        <v>18.144000000000002</v>
      </c>
      <c r="D19" s="3">
        <f>0.0858/50*86400</f>
        <v>148.26240000000001</v>
      </c>
      <c r="E19" s="3" t="s">
        <v>99</v>
      </c>
      <c r="F19" s="3" t="s">
        <v>99</v>
      </c>
      <c r="G19" s="8" t="s">
        <v>99</v>
      </c>
      <c r="H19" t="s">
        <v>99</v>
      </c>
      <c r="I19" t="s">
        <v>99</v>
      </c>
      <c r="J19" s="8">
        <v>1</v>
      </c>
      <c r="K19" s="2" t="s">
        <v>99</v>
      </c>
      <c r="L19" s="2" t="s">
        <v>99</v>
      </c>
      <c r="M19" s="3" t="s">
        <v>99</v>
      </c>
      <c r="N19" s="3" t="s">
        <v>99</v>
      </c>
      <c r="O19" s="3" t="s">
        <v>99</v>
      </c>
      <c r="P19" s="3" t="s">
        <v>99</v>
      </c>
      <c r="Q19" s="3">
        <f>0.000107/50</f>
        <v>2.1399999999999998E-6</v>
      </c>
      <c r="R19" s="3">
        <f>0.000353/50</f>
        <v>7.0600000000000002E-6</v>
      </c>
      <c r="S19" s="3" t="s">
        <v>184</v>
      </c>
      <c r="T19" s="3" t="s">
        <v>188</v>
      </c>
      <c r="U19" t="s">
        <v>91</v>
      </c>
      <c r="V19">
        <v>250</v>
      </c>
      <c r="W19" t="s">
        <v>116</v>
      </c>
      <c r="X19" t="s">
        <v>122</v>
      </c>
    </row>
    <row r="20" spans="1:24" x14ac:dyDescent="0.25">
      <c r="A20" t="s">
        <v>11</v>
      </c>
      <c r="B20" t="s">
        <v>10</v>
      </c>
      <c r="C20" s="3">
        <v>4</v>
      </c>
      <c r="D20" s="3">
        <v>15</v>
      </c>
      <c r="E20" s="3">
        <v>9.9999999999999995E-7</v>
      </c>
      <c r="F20" s="3">
        <v>2.0000000000000002E-5</v>
      </c>
      <c r="G20" s="8">
        <v>1</v>
      </c>
      <c r="H20" s="4" t="s">
        <v>99</v>
      </c>
      <c r="I20" s="4" t="s">
        <v>99</v>
      </c>
      <c r="J20" s="8">
        <v>1</v>
      </c>
      <c r="K20" s="2" t="s">
        <v>99</v>
      </c>
      <c r="L20" s="2" t="s">
        <v>99</v>
      </c>
      <c r="M20" s="3" t="s">
        <v>99</v>
      </c>
      <c r="N20" s="3" t="s">
        <v>99</v>
      </c>
      <c r="O20" s="3" t="s">
        <v>99</v>
      </c>
      <c r="P20" s="3" t="s">
        <v>99</v>
      </c>
      <c r="Q20" s="3" t="s">
        <v>99</v>
      </c>
      <c r="R20" s="3" t="s">
        <v>99</v>
      </c>
      <c r="S20" s="3" t="s">
        <v>178</v>
      </c>
      <c r="T20" s="3" t="s">
        <v>186</v>
      </c>
      <c r="U20" s="4" t="s">
        <v>91</v>
      </c>
      <c r="V20">
        <v>350</v>
      </c>
      <c r="W20" t="s">
        <v>121</v>
      </c>
      <c r="X20" t="s">
        <v>268</v>
      </c>
    </row>
    <row r="21" spans="1:24" x14ac:dyDescent="0.25">
      <c r="A21" t="s">
        <v>9</v>
      </c>
      <c r="B21" t="s">
        <v>10</v>
      </c>
      <c r="C21" s="3">
        <v>1</v>
      </c>
      <c r="D21" s="3">
        <v>30</v>
      </c>
      <c r="E21" s="3">
        <v>1.0000000000000001E-5</v>
      </c>
      <c r="F21" s="3">
        <v>1E-3</v>
      </c>
      <c r="G21" s="8">
        <v>1</v>
      </c>
      <c r="H21" s="4" t="s">
        <v>99</v>
      </c>
      <c r="I21" s="4" t="s">
        <v>99</v>
      </c>
      <c r="J21" s="8">
        <v>1</v>
      </c>
      <c r="K21" s="2" t="s">
        <v>99</v>
      </c>
      <c r="L21" s="2" t="s">
        <v>99</v>
      </c>
      <c r="M21" s="3">
        <f>100/1000/365.25</f>
        <v>2.7378507871321013E-4</v>
      </c>
      <c r="N21" s="3">
        <f>100/1000/365.25</f>
        <v>2.7378507871321013E-4</v>
      </c>
      <c r="O21" s="3" t="s">
        <v>99</v>
      </c>
      <c r="P21" s="3" t="s">
        <v>99</v>
      </c>
      <c r="Q21" s="3">
        <v>5.0000000000000001E-4</v>
      </c>
      <c r="R21" s="3">
        <v>5.0000000000000001E-3</v>
      </c>
      <c r="S21" s="3" t="s">
        <v>189</v>
      </c>
      <c r="T21" s="3" t="s">
        <v>180</v>
      </c>
      <c r="U21" s="4" t="s">
        <v>91</v>
      </c>
      <c r="V21">
        <v>50</v>
      </c>
      <c r="W21" t="s">
        <v>123</v>
      </c>
      <c r="X21" t="s">
        <v>267</v>
      </c>
    </row>
    <row r="22" spans="1:24" x14ac:dyDescent="0.25">
      <c r="A22" t="s">
        <v>37</v>
      </c>
      <c r="B22" t="s">
        <v>13</v>
      </c>
      <c r="C22" s="3">
        <v>5</v>
      </c>
      <c r="D22" s="3">
        <v>67.5</v>
      </c>
      <c r="E22" s="3">
        <f>0.00033/H22</f>
        <v>1.1E-4</v>
      </c>
      <c r="F22" s="3">
        <f>0.018/H22</f>
        <v>5.9999999999999993E-3</v>
      </c>
      <c r="G22" s="8">
        <v>1</v>
      </c>
      <c r="H22">
        <v>3</v>
      </c>
      <c r="I22">
        <v>3</v>
      </c>
      <c r="J22" s="8">
        <v>1</v>
      </c>
      <c r="K22" s="2" t="s">
        <v>99</v>
      </c>
      <c r="L22" s="2" t="s">
        <v>99</v>
      </c>
      <c r="M22" s="3">
        <f>(1764.5-1028.2)*0.001/365.25</f>
        <v>2.0158795345653659E-3</v>
      </c>
      <c r="N22" s="3">
        <f>(1764.5-1028.2)*0.001/365.25</f>
        <v>2.0158795345653659E-3</v>
      </c>
      <c r="O22" s="3" t="s">
        <v>99</v>
      </c>
      <c r="P22" s="3" t="s">
        <v>99</v>
      </c>
      <c r="Q22" s="3">
        <v>5.3000000000000001E-5</v>
      </c>
      <c r="R22" s="3">
        <v>2.5999999999999999E-3</v>
      </c>
      <c r="S22" s="3" t="s">
        <v>178</v>
      </c>
      <c r="T22" s="3" t="s">
        <v>185</v>
      </c>
      <c r="U22" s="4" t="s">
        <v>91</v>
      </c>
      <c r="V22">
        <v>500</v>
      </c>
      <c r="W22" t="s">
        <v>124</v>
      </c>
      <c r="X22" t="s">
        <v>174</v>
      </c>
    </row>
    <row r="23" spans="1:24" x14ac:dyDescent="0.25">
      <c r="A23" t="s">
        <v>37</v>
      </c>
      <c r="B23" t="s">
        <v>13</v>
      </c>
      <c r="C23" s="3">
        <v>0.51839999999999997</v>
      </c>
      <c r="D23" s="3">
        <f>0.0006*86400</f>
        <v>51.839999999999996</v>
      </c>
      <c r="E23" s="3">
        <f>0.00000000006*86400</f>
        <v>5.1839999999999998E-6</v>
      </c>
      <c r="F23" s="3">
        <f>0.000001*86400</f>
        <v>8.6399999999999991E-2</v>
      </c>
      <c r="G23" s="8">
        <v>1</v>
      </c>
      <c r="H23">
        <v>3</v>
      </c>
      <c r="I23">
        <v>3</v>
      </c>
      <c r="J23" s="8">
        <v>1</v>
      </c>
      <c r="K23" s="2">
        <v>0.25</v>
      </c>
      <c r="L23" s="2">
        <v>0.25</v>
      </c>
      <c r="M23" s="3">
        <v>2.0000000000000001E-4</v>
      </c>
      <c r="N23" s="3">
        <v>1.5E-3</v>
      </c>
      <c r="O23" s="3" t="s">
        <v>99</v>
      </c>
      <c r="P23" s="3" t="s">
        <v>99</v>
      </c>
      <c r="Q23" s="3" t="s">
        <v>99</v>
      </c>
      <c r="R23" s="3" t="s">
        <v>99</v>
      </c>
      <c r="S23" s="3" t="s">
        <v>177</v>
      </c>
      <c r="T23" s="3" t="s">
        <v>180</v>
      </c>
      <c r="U23" s="4" t="s">
        <v>91</v>
      </c>
      <c r="V23" s="4">
        <v>500</v>
      </c>
      <c r="W23" t="s">
        <v>125</v>
      </c>
      <c r="X23" s="4" t="s">
        <v>261</v>
      </c>
    </row>
    <row r="24" spans="1:24" x14ac:dyDescent="0.25">
      <c r="A24" t="s">
        <v>12</v>
      </c>
      <c r="B24" t="s">
        <v>13</v>
      </c>
      <c r="C24" s="3">
        <f>0.000057*86400</f>
        <v>4.9248000000000003</v>
      </c>
      <c r="D24" s="3">
        <f>0.00034*86400</f>
        <v>29.376000000000001</v>
      </c>
      <c r="E24" s="3">
        <f>0.00000000001*86400</f>
        <v>8.639999999999999E-7</v>
      </c>
      <c r="F24" s="3">
        <f>0.0000001*86400</f>
        <v>8.6400000000000001E-3</v>
      </c>
      <c r="G24" s="8">
        <v>1</v>
      </c>
      <c r="H24">
        <v>10</v>
      </c>
      <c r="I24">
        <v>10</v>
      </c>
      <c r="J24" s="8">
        <v>1</v>
      </c>
      <c r="K24" s="2">
        <v>0.06</v>
      </c>
      <c r="L24" s="2">
        <v>0.25</v>
      </c>
      <c r="M24" s="3" t="s">
        <v>99</v>
      </c>
      <c r="N24" s="3" t="s">
        <v>99</v>
      </c>
      <c r="O24" s="3" t="s">
        <v>99</v>
      </c>
      <c r="P24" s="3" t="s">
        <v>99</v>
      </c>
      <c r="Q24" s="3" t="s">
        <v>99</v>
      </c>
      <c r="R24" s="3" t="s">
        <v>99</v>
      </c>
      <c r="S24" s="3" t="s">
        <v>182</v>
      </c>
      <c r="T24" s="3" t="s">
        <v>179</v>
      </c>
      <c r="U24" s="4" t="s">
        <v>91</v>
      </c>
      <c r="V24" s="4">
        <v>120</v>
      </c>
      <c r="W24" s="4" t="s">
        <v>83</v>
      </c>
    </row>
    <row r="25" spans="1:24" x14ac:dyDescent="0.25">
      <c r="A25" t="s">
        <v>7</v>
      </c>
      <c r="B25" t="s">
        <v>128</v>
      </c>
      <c r="C25" s="3">
        <v>0.1</v>
      </c>
      <c r="D25" s="3">
        <v>40</v>
      </c>
      <c r="E25" s="3">
        <v>1E-3</v>
      </c>
      <c r="F25" s="3">
        <v>0.05</v>
      </c>
      <c r="G25" s="8">
        <v>1</v>
      </c>
      <c r="H25" t="s">
        <v>99</v>
      </c>
      <c r="I25" t="s">
        <v>99</v>
      </c>
      <c r="J25" s="8">
        <v>1</v>
      </c>
      <c r="K25" s="2">
        <v>0.3</v>
      </c>
      <c r="L25" s="2">
        <v>0.3</v>
      </c>
      <c r="M25" s="3" t="s">
        <v>99</v>
      </c>
      <c r="N25" s="3" t="s">
        <v>99</v>
      </c>
      <c r="O25" s="3" t="s">
        <v>99</v>
      </c>
      <c r="P25" s="3" t="s">
        <v>99</v>
      </c>
      <c r="Q25" s="3" t="s">
        <v>99</v>
      </c>
      <c r="R25" s="3" t="s">
        <v>99</v>
      </c>
      <c r="S25" s="3" t="s">
        <v>181</v>
      </c>
      <c r="T25" s="3" t="s">
        <v>187</v>
      </c>
      <c r="U25" s="4" t="s">
        <v>91</v>
      </c>
      <c r="V25" s="4">
        <v>300</v>
      </c>
      <c r="W25" s="4" t="s">
        <v>129</v>
      </c>
      <c r="X25" t="s">
        <v>133</v>
      </c>
    </row>
    <row r="26" spans="1:24" x14ac:dyDescent="0.25">
      <c r="A26" t="s">
        <v>47</v>
      </c>
      <c r="B26" t="s">
        <v>48</v>
      </c>
      <c r="C26" s="3">
        <v>75</v>
      </c>
      <c r="D26" s="3">
        <v>75</v>
      </c>
      <c r="E26" s="3">
        <f>0.0001/H26</f>
        <v>1.0000000000000001E-5</v>
      </c>
      <c r="F26" s="3">
        <f>0.2/I26</f>
        <v>2E-3</v>
      </c>
      <c r="G26" s="8">
        <v>1</v>
      </c>
      <c r="H26">
        <v>10</v>
      </c>
      <c r="I26">
        <v>100</v>
      </c>
      <c r="J26" s="8">
        <v>1</v>
      </c>
      <c r="K26" s="2">
        <v>0.25</v>
      </c>
      <c r="L26" s="2">
        <v>0.25</v>
      </c>
      <c r="M26" s="3">
        <v>0</v>
      </c>
      <c r="N26" s="3">
        <v>5.5000000000000003E-4</v>
      </c>
      <c r="O26">
        <v>100</v>
      </c>
      <c r="P26">
        <v>100</v>
      </c>
      <c r="Q26" s="3" t="s">
        <v>99</v>
      </c>
      <c r="R26" s="3" t="s">
        <v>99</v>
      </c>
      <c r="S26" t="s">
        <v>177</v>
      </c>
      <c r="T26" t="s">
        <v>180</v>
      </c>
      <c r="U26" s="4" t="s">
        <v>91</v>
      </c>
      <c r="V26" s="4">
        <v>1000</v>
      </c>
      <c r="W26" s="4" t="s">
        <v>130</v>
      </c>
    </row>
    <row r="27" spans="1:24" x14ac:dyDescent="0.25">
      <c r="A27" t="s">
        <v>47</v>
      </c>
      <c r="B27" t="s">
        <v>48</v>
      </c>
      <c r="C27" s="3">
        <v>6.6</v>
      </c>
      <c r="D27" s="3">
        <v>100</v>
      </c>
      <c r="E27" s="3">
        <v>2.5000000000000001E-3</v>
      </c>
      <c r="F27" s="3">
        <v>0.65500000000000003</v>
      </c>
      <c r="G27" s="8">
        <v>1</v>
      </c>
      <c r="H27" s="3" t="s">
        <v>99</v>
      </c>
      <c r="I27" t="s">
        <v>99</v>
      </c>
      <c r="J27" s="8">
        <v>1</v>
      </c>
      <c r="K27" t="s">
        <v>99</v>
      </c>
      <c r="L27" t="s">
        <v>99</v>
      </c>
      <c r="M27" s="2">
        <v>0</v>
      </c>
      <c r="N27" s="2">
        <v>0</v>
      </c>
      <c r="O27" s="3" t="s">
        <v>99</v>
      </c>
      <c r="P27" s="3" t="s">
        <v>99</v>
      </c>
      <c r="Q27" s="3">
        <v>3.7800000000000003E-4</v>
      </c>
      <c r="R27" s="3">
        <v>6.0999999999999997E-4</v>
      </c>
      <c r="S27" s="3" t="s">
        <v>184</v>
      </c>
      <c r="T27" s="3" t="s">
        <v>186</v>
      </c>
      <c r="U27" s="4" t="s">
        <v>91</v>
      </c>
      <c r="V27" s="3" t="s">
        <v>99</v>
      </c>
      <c r="W27" s="3" t="s">
        <v>379</v>
      </c>
      <c r="X27" s="4" t="s">
        <v>173</v>
      </c>
    </row>
    <row r="28" spans="1:24" x14ac:dyDescent="0.25">
      <c r="A28" t="s">
        <v>27</v>
      </c>
      <c r="B28" t="s">
        <v>28</v>
      </c>
      <c r="C28" s="3">
        <f>1.35/5</f>
        <v>0.27</v>
      </c>
      <c r="D28" s="3">
        <f>31077/30</f>
        <v>1035.9000000000001</v>
      </c>
      <c r="E28" s="3">
        <v>2.4999999999999999E-8</v>
      </c>
      <c r="F28" s="3">
        <v>1.0999999999999999E-2</v>
      </c>
      <c r="G28" s="8">
        <v>1</v>
      </c>
      <c r="H28" t="s">
        <v>99</v>
      </c>
      <c r="I28" t="s">
        <v>99</v>
      </c>
      <c r="J28" s="8">
        <v>1</v>
      </c>
      <c r="K28" s="2">
        <v>0.2</v>
      </c>
      <c r="L28" s="2">
        <v>0.2</v>
      </c>
      <c r="M28" s="3">
        <v>4.4000000000000002E-4</v>
      </c>
      <c r="N28" s="3">
        <v>2E-3</v>
      </c>
      <c r="O28" s="3" t="s">
        <v>99</v>
      </c>
      <c r="P28" s="3" t="s">
        <v>99</v>
      </c>
      <c r="Q28" s="3">
        <f>0.002/30</f>
        <v>6.666666666666667E-5</v>
      </c>
      <c r="R28" s="3">
        <f>0.001/5</f>
        <v>2.0000000000000001E-4</v>
      </c>
      <c r="S28" s="3" t="s">
        <v>178</v>
      </c>
      <c r="T28" s="3" t="s">
        <v>186</v>
      </c>
      <c r="U28" s="4" t="s">
        <v>91</v>
      </c>
      <c r="V28" s="4">
        <v>80</v>
      </c>
      <c r="W28" s="4" t="s">
        <v>131</v>
      </c>
      <c r="X28" t="s">
        <v>191</v>
      </c>
    </row>
    <row r="29" spans="1:24" x14ac:dyDescent="0.25">
      <c r="A29" t="s">
        <v>25</v>
      </c>
      <c r="B29" t="s">
        <v>26</v>
      </c>
      <c r="C29" s="3">
        <f>0.0004*86400</f>
        <v>34.56</v>
      </c>
      <c r="D29" s="3">
        <f>0.0004*86400</f>
        <v>34.56</v>
      </c>
      <c r="E29" s="3">
        <f>0.0000000001*86400</f>
        <v>8.6400000000000003E-6</v>
      </c>
      <c r="F29" s="3">
        <f>0.0000001*86400</f>
        <v>8.6400000000000001E-3</v>
      </c>
      <c r="G29" s="8">
        <v>1</v>
      </c>
      <c r="H29" t="s">
        <v>99</v>
      </c>
      <c r="I29" t="s">
        <v>99</v>
      </c>
      <c r="J29" s="8">
        <v>1</v>
      </c>
      <c r="K29" s="2">
        <v>0.3</v>
      </c>
      <c r="L29" s="2">
        <v>0.4</v>
      </c>
      <c r="M29" s="3" t="s">
        <v>99</v>
      </c>
      <c r="N29" s="3" t="s">
        <v>99</v>
      </c>
      <c r="O29" s="3" t="s">
        <v>99</v>
      </c>
      <c r="P29" s="3" t="s">
        <v>99</v>
      </c>
      <c r="Q29" s="3">
        <v>1E-4</v>
      </c>
      <c r="R29" s="3">
        <v>1E-4</v>
      </c>
      <c r="S29" s="3" t="s">
        <v>183</v>
      </c>
      <c r="T29" s="3" t="s">
        <v>185</v>
      </c>
      <c r="U29" s="4" t="s">
        <v>91</v>
      </c>
      <c r="V29" s="4">
        <v>80</v>
      </c>
      <c r="W29" s="4" t="s">
        <v>132</v>
      </c>
      <c r="X29" t="s">
        <v>190</v>
      </c>
    </row>
    <row r="30" spans="1:24" x14ac:dyDescent="0.25">
      <c r="A30" t="s">
        <v>25</v>
      </c>
      <c r="B30" t="s">
        <v>26</v>
      </c>
      <c r="C30" s="3">
        <f>0.0001*86400*0.01</f>
        <v>8.6400000000000005E-2</v>
      </c>
      <c r="D30" s="3">
        <f>0.05*86400*0.01</f>
        <v>43.2</v>
      </c>
      <c r="E30" s="3">
        <f>0.0000001*86400*0.01</f>
        <v>8.6399999999999999E-5</v>
      </c>
      <c r="F30" s="3">
        <f>0.000005*86400*0.01</f>
        <v>4.3200000000000009E-3</v>
      </c>
      <c r="G30" s="8">
        <v>1</v>
      </c>
      <c r="H30" t="s">
        <v>99</v>
      </c>
      <c r="I30" t="s">
        <v>99</v>
      </c>
      <c r="J30" s="8">
        <v>1</v>
      </c>
      <c r="K30" s="2" t="s">
        <v>99</v>
      </c>
      <c r="L30" s="2" t="s">
        <v>99</v>
      </c>
      <c r="M30" s="3">
        <f>0.12/365.25</f>
        <v>3.2854209445585213E-4</v>
      </c>
      <c r="N30" s="3">
        <f>0.25/365.25</f>
        <v>6.8446269678302531E-4</v>
      </c>
      <c r="O30" s="3" t="s">
        <v>99</v>
      </c>
      <c r="P30" s="3" t="s">
        <v>99</v>
      </c>
      <c r="Q30" s="3" t="s">
        <v>99</v>
      </c>
      <c r="R30" s="3" t="s">
        <v>99</v>
      </c>
      <c r="S30" s="3" t="s">
        <v>182</v>
      </c>
      <c r="T30" s="3" t="s">
        <v>180</v>
      </c>
      <c r="U30" s="4" t="s">
        <v>91</v>
      </c>
      <c r="V30" s="4">
        <v>300</v>
      </c>
      <c r="W30" s="4" t="s">
        <v>134</v>
      </c>
      <c r="X30" t="s">
        <v>262</v>
      </c>
    </row>
    <row r="31" spans="1:24" x14ac:dyDescent="0.25">
      <c r="A31" t="s">
        <v>135</v>
      </c>
      <c r="B31" t="s">
        <v>28</v>
      </c>
      <c r="C31" s="3">
        <v>3</v>
      </c>
      <c r="D31" s="3">
        <v>245</v>
      </c>
      <c r="E31" s="3">
        <f>1/H31</f>
        <v>0.33333333333333331</v>
      </c>
      <c r="F31" s="3">
        <f>1/H31</f>
        <v>0.33333333333333331</v>
      </c>
      <c r="G31" s="8">
        <v>1</v>
      </c>
      <c r="H31" s="2">
        <v>3</v>
      </c>
      <c r="I31">
        <v>10</v>
      </c>
      <c r="J31" s="8">
        <v>1</v>
      </c>
      <c r="K31" s="2" t="s">
        <v>99</v>
      </c>
      <c r="L31" s="2" t="s">
        <v>99</v>
      </c>
      <c r="M31" s="3">
        <v>0</v>
      </c>
      <c r="N31" s="3">
        <f>717.3*0.001/365.25</f>
        <v>1.9638603696098562E-3</v>
      </c>
      <c r="O31" s="3" t="s">
        <v>99</v>
      </c>
      <c r="P31" s="3" t="s">
        <v>99</v>
      </c>
      <c r="Q31" s="3">
        <v>1E-4</v>
      </c>
      <c r="R31" s="3">
        <v>0.01</v>
      </c>
      <c r="S31" s="3" t="s">
        <v>178</v>
      </c>
      <c r="T31" s="3" t="s">
        <v>187</v>
      </c>
      <c r="U31" s="4" t="s">
        <v>90</v>
      </c>
      <c r="V31" s="4">
        <v>70</v>
      </c>
      <c r="W31" s="4" t="s">
        <v>136</v>
      </c>
      <c r="X31" s="3" t="s">
        <v>147</v>
      </c>
    </row>
    <row r="32" spans="1:24" x14ac:dyDescent="0.25">
      <c r="A32" t="s">
        <v>143</v>
      </c>
      <c r="B32" t="s">
        <v>144</v>
      </c>
      <c r="C32" s="3">
        <v>2</v>
      </c>
      <c r="D32" s="3">
        <v>18</v>
      </c>
      <c r="E32" s="3" t="s">
        <v>99</v>
      </c>
      <c r="F32" s="3" t="s">
        <v>99</v>
      </c>
      <c r="G32" s="8" t="s">
        <v>99</v>
      </c>
      <c r="H32" s="3" t="s">
        <v>99</v>
      </c>
      <c r="I32" s="3" t="s">
        <v>99</v>
      </c>
      <c r="J32" s="8">
        <v>1</v>
      </c>
      <c r="K32" s="2" t="s">
        <v>99</v>
      </c>
      <c r="L32" s="2" t="s">
        <v>99</v>
      </c>
      <c r="M32" s="3">
        <f>0.069/365.25</f>
        <v>1.88911704312115E-4</v>
      </c>
      <c r="N32" s="3">
        <f>0.34/365.25</f>
        <v>9.3086926762491449E-4</v>
      </c>
      <c r="O32" s="3" t="s">
        <v>99</v>
      </c>
      <c r="P32" s="3" t="s">
        <v>99</v>
      </c>
      <c r="Q32" s="3" t="s">
        <v>99</v>
      </c>
      <c r="R32" s="3" t="s">
        <v>99</v>
      </c>
      <c r="S32" s="3" t="s">
        <v>178</v>
      </c>
      <c r="T32" s="3" t="s">
        <v>186</v>
      </c>
      <c r="U32" s="3" t="s">
        <v>90</v>
      </c>
      <c r="V32" s="3" t="s">
        <v>99</v>
      </c>
      <c r="W32" s="3" t="s">
        <v>146</v>
      </c>
      <c r="X32" s="3" t="s">
        <v>150</v>
      </c>
    </row>
    <row r="33" spans="1:24" x14ac:dyDescent="0.25">
      <c r="A33" t="s">
        <v>34</v>
      </c>
      <c r="B33" t="s">
        <v>35</v>
      </c>
      <c r="C33" s="3">
        <f>1*24</f>
        <v>24</v>
      </c>
      <c r="D33" s="3">
        <f>7*24</f>
        <v>168</v>
      </c>
      <c r="E33" s="3" t="s">
        <v>99</v>
      </c>
      <c r="F33" s="3" t="s">
        <v>99</v>
      </c>
      <c r="G33" s="8" t="s">
        <v>99</v>
      </c>
      <c r="H33" s="3" t="s">
        <v>99</v>
      </c>
      <c r="I33" s="3" t="s">
        <v>99</v>
      </c>
      <c r="J33" s="8">
        <v>1</v>
      </c>
      <c r="K33" s="3" t="s">
        <v>99</v>
      </c>
      <c r="L33" s="3" t="s">
        <v>99</v>
      </c>
      <c r="M33" s="3">
        <f>(885.069+12.313)*24/(90000000)</f>
        <v>2.3930186666666663E-4</v>
      </c>
      <c r="N33" s="3">
        <f>(885.069+12.313)*24/(90000000)</f>
        <v>2.3930186666666663E-4</v>
      </c>
      <c r="O33" s="3" t="s">
        <v>99</v>
      </c>
      <c r="P33" s="3" t="s">
        <v>99</v>
      </c>
      <c r="Q33" s="3" t="s">
        <v>99</v>
      </c>
      <c r="R33" s="3" t="s">
        <v>99</v>
      </c>
      <c r="S33" s="3" t="s">
        <v>182</v>
      </c>
      <c r="T33" s="3" t="s">
        <v>182</v>
      </c>
      <c r="U33" s="3" t="s">
        <v>90</v>
      </c>
      <c r="V33" s="4">
        <v>100</v>
      </c>
      <c r="W33" s="3" t="s">
        <v>149</v>
      </c>
      <c r="X33" s="3" t="s">
        <v>269</v>
      </c>
    </row>
    <row r="34" spans="1:24" x14ac:dyDescent="0.25">
      <c r="A34" t="s">
        <v>34</v>
      </c>
      <c r="B34" t="s">
        <v>35</v>
      </c>
      <c r="C34" s="3">
        <v>5.8</v>
      </c>
      <c r="D34" s="3">
        <v>26.9</v>
      </c>
      <c r="E34" s="3">
        <v>1.6000000000000001E-3</v>
      </c>
      <c r="F34" s="3">
        <v>8.6E-3</v>
      </c>
      <c r="G34" s="8">
        <v>1</v>
      </c>
      <c r="H34" s="3" t="s">
        <v>99</v>
      </c>
      <c r="I34" s="3" t="s">
        <v>99</v>
      </c>
      <c r="J34" s="8">
        <v>1</v>
      </c>
      <c r="K34" s="2" t="s">
        <v>99</v>
      </c>
      <c r="L34" s="2" t="s">
        <v>99</v>
      </c>
      <c r="M34" s="3">
        <f>136*0.001/365.25</f>
        <v>3.7234770704996581E-4</v>
      </c>
      <c r="N34" s="3">
        <f>136*0.001/365.25</f>
        <v>3.7234770704996581E-4</v>
      </c>
      <c r="O34">
        <f>1/2.4*0.5</f>
        <v>0.20833333333333334</v>
      </c>
      <c r="P34">
        <f>1/0.02*0.5</f>
        <v>25</v>
      </c>
      <c r="Q34" s="3" t="s">
        <v>99</v>
      </c>
      <c r="R34" s="3" t="s">
        <v>99</v>
      </c>
      <c r="S34" s="3" t="s">
        <v>178</v>
      </c>
      <c r="T34" s="3" t="s">
        <v>185</v>
      </c>
      <c r="U34" s="4" t="s">
        <v>90</v>
      </c>
      <c r="V34" s="4">
        <v>100</v>
      </c>
      <c r="W34" s="4" t="s">
        <v>151</v>
      </c>
      <c r="X34" t="s">
        <v>402</v>
      </c>
    </row>
    <row r="35" spans="1:24" x14ac:dyDescent="0.25">
      <c r="A35" t="s">
        <v>378</v>
      </c>
      <c r="B35" t="s">
        <v>152</v>
      </c>
      <c r="C35" s="3">
        <f>144/100</f>
        <v>1.44</v>
      </c>
      <c r="D35" s="3">
        <f>5000/30</f>
        <v>166.66666666666666</v>
      </c>
      <c r="E35" s="3" t="s">
        <v>99</v>
      </c>
      <c r="F35" s="3" t="s">
        <v>99</v>
      </c>
      <c r="G35" s="8" t="s">
        <v>99</v>
      </c>
      <c r="H35" s="3" t="s">
        <v>99</v>
      </c>
      <c r="I35" s="3" t="s">
        <v>99</v>
      </c>
      <c r="J35" s="8">
        <v>1</v>
      </c>
      <c r="K35" s="2" t="s">
        <v>99</v>
      </c>
      <c r="L35" s="2" t="s">
        <v>99</v>
      </c>
      <c r="M35" s="3">
        <f>2290*0.001*0.05/365.25</f>
        <v>3.1348391512662561E-4</v>
      </c>
      <c r="N35" s="3">
        <f>2420*0.001*0.15/365.25</f>
        <v>9.9383983572895267E-4</v>
      </c>
      <c r="O35" s="3" t="s">
        <v>99</v>
      </c>
      <c r="P35" s="3" t="s">
        <v>99</v>
      </c>
      <c r="Q35" s="3" t="s">
        <v>99</v>
      </c>
      <c r="R35" s="3" t="s">
        <v>99</v>
      </c>
      <c r="S35" s="3" t="s">
        <v>182</v>
      </c>
      <c r="T35" s="3" t="s">
        <v>185</v>
      </c>
      <c r="U35" s="3" t="s">
        <v>91</v>
      </c>
      <c r="V35" s="4">
        <v>3000</v>
      </c>
      <c r="W35" s="3" t="s">
        <v>153</v>
      </c>
      <c r="X35" t="s">
        <v>163</v>
      </c>
    </row>
    <row r="36" spans="1:24" ht="16.5" customHeight="1" x14ac:dyDescent="0.25">
      <c r="A36" t="s">
        <v>382</v>
      </c>
      <c r="B36" t="s">
        <v>157</v>
      </c>
      <c r="C36" s="3">
        <f>13.8/70</f>
        <v>0.19714285714285715</v>
      </c>
      <c r="D36" s="3">
        <f>100/30</f>
        <v>3.3333333333333335</v>
      </c>
      <c r="E36" s="3">
        <f>0.01/I36</f>
        <v>1.1111111111111111E-3</v>
      </c>
      <c r="F36" s="3">
        <f>2.38/H36</f>
        <v>0.47599999999999998</v>
      </c>
      <c r="G36" s="8">
        <v>1</v>
      </c>
      <c r="H36">
        <v>5</v>
      </c>
      <c r="I36">
        <v>9</v>
      </c>
      <c r="J36" s="8">
        <v>1</v>
      </c>
      <c r="K36" s="2" t="s">
        <v>99</v>
      </c>
      <c r="L36" s="2" t="s">
        <v>99</v>
      </c>
      <c r="M36" s="3" t="s">
        <v>99</v>
      </c>
      <c r="N36" s="3" t="s">
        <v>99</v>
      </c>
      <c r="O36" t="s">
        <v>99</v>
      </c>
      <c r="P36" t="s">
        <v>99</v>
      </c>
      <c r="Q36" s="3" t="s">
        <v>99</v>
      </c>
      <c r="R36" s="3" t="s">
        <v>99</v>
      </c>
      <c r="S36" s="3" t="s">
        <v>184</v>
      </c>
      <c r="T36" s="3" t="s">
        <v>186</v>
      </c>
      <c r="U36" s="4" t="s">
        <v>91</v>
      </c>
      <c r="V36" s="4">
        <v>700</v>
      </c>
      <c r="W36" s="4" t="s">
        <v>158</v>
      </c>
      <c r="X36" s="3" t="s">
        <v>193</v>
      </c>
    </row>
    <row r="37" spans="1:24" ht="30" x14ac:dyDescent="0.25">
      <c r="A37" t="s">
        <v>382</v>
      </c>
      <c r="B37" t="s">
        <v>157</v>
      </c>
      <c r="C37" s="3">
        <f>0.000115*86400/100</f>
        <v>9.9360000000000004E-2</v>
      </c>
      <c r="D37" s="3">
        <f>0.0173*86400/500</f>
        <v>2.9894400000000001</v>
      </c>
      <c r="E37" s="3" t="s">
        <v>99</v>
      </c>
      <c r="F37" s="3" t="s">
        <v>99</v>
      </c>
      <c r="G37" s="8" t="s">
        <v>99</v>
      </c>
      <c r="H37" s="3" t="s">
        <v>99</v>
      </c>
      <c r="I37" s="3" t="s">
        <v>99</v>
      </c>
      <c r="J37" s="8">
        <v>1</v>
      </c>
      <c r="K37" s="3" t="s">
        <v>99</v>
      </c>
      <c r="L37" s="3" t="s">
        <v>99</v>
      </c>
      <c r="M37" s="3">
        <v>0</v>
      </c>
      <c r="N37" s="3">
        <f>6.7*0.001/365.25</f>
        <v>1.8343600273785079E-5</v>
      </c>
      <c r="O37" s="3" t="s">
        <v>99</v>
      </c>
      <c r="P37" s="3" t="s">
        <v>99</v>
      </c>
      <c r="Q37" s="3" t="s">
        <v>99</v>
      </c>
      <c r="R37" s="3" t="s">
        <v>99</v>
      </c>
      <c r="S37" s="3" t="s">
        <v>184</v>
      </c>
      <c r="T37" s="3" t="s">
        <v>186</v>
      </c>
      <c r="U37" s="3" t="s">
        <v>91</v>
      </c>
      <c r="V37" s="4">
        <v>700</v>
      </c>
      <c r="W37" s="7" t="s">
        <v>159</v>
      </c>
      <c r="X37" t="s">
        <v>165</v>
      </c>
    </row>
    <row r="38" spans="1:24" x14ac:dyDescent="0.25">
      <c r="A38" t="s">
        <v>160</v>
      </c>
      <c r="B38" t="s">
        <v>161</v>
      </c>
      <c r="C38" s="3">
        <v>10</v>
      </c>
      <c r="D38" s="3">
        <v>60</v>
      </c>
      <c r="E38" s="3" t="s">
        <v>99</v>
      </c>
      <c r="F38" s="3" t="s">
        <v>99</v>
      </c>
      <c r="G38" s="8" t="s">
        <v>99</v>
      </c>
      <c r="H38">
        <v>200</v>
      </c>
      <c r="I38">
        <v>500</v>
      </c>
      <c r="J38" s="8">
        <v>0</v>
      </c>
      <c r="K38" s="2" t="s">
        <v>99</v>
      </c>
      <c r="L38" s="2" t="s">
        <v>99</v>
      </c>
      <c r="M38" s="3">
        <v>0</v>
      </c>
      <c r="N38" s="3">
        <v>0</v>
      </c>
      <c r="O38" t="s">
        <v>99</v>
      </c>
      <c r="P38" t="s">
        <v>99</v>
      </c>
      <c r="Q38" s="3" t="s">
        <v>99</v>
      </c>
      <c r="R38" s="3" t="s">
        <v>99</v>
      </c>
      <c r="S38" s="3" t="s">
        <v>184</v>
      </c>
      <c r="T38" s="3" t="s">
        <v>182</v>
      </c>
      <c r="U38" s="4" t="s">
        <v>91</v>
      </c>
      <c r="V38" s="4">
        <v>200</v>
      </c>
      <c r="W38" t="s">
        <v>167</v>
      </c>
      <c r="X38" s="3" t="s">
        <v>166</v>
      </c>
    </row>
    <row r="39" spans="1:24" x14ac:dyDescent="0.25">
      <c r="A39" t="s">
        <v>14</v>
      </c>
      <c r="B39" t="s">
        <v>15</v>
      </c>
      <c r="C39" s="3">
        <v>20</v>
      </c>
      <c r="D39" s="3">
        <v>50</v>
      </c>
      <c r="E39" s="3" t="s">
        <v>99</v>
      </c>
      <c r="F39" s="3" t="s">
        <v>99</v>
      </c>
      <c r="G39" s="8" t="s">
        <v>99</v>
      </c>
      <c r="H39">
        <v>10000</v>
      </c>
      <c r="I39">
        <v>20000</v>
      </c>
      <c r="J39" s="8">
        <v>0</v>
      </c>
      <c r="K39" s="2" t="s">
        <v>99</v>
      </c>
      <c r="L39" s="2" t="s">
        <v>99</v>
      </c>
      <c r="M39" s="3">
        <f>0.1*1000*0.001/365.25</f>
        <v>2.7378507871321013E-4</v>
      </c>
      <c r="N39" s="3">
        <f>0.2*2500*0.001/365.25</f>
        <v>1.3689253935660506E-3</v>
      </c>
      <c r="O39" s="3" t="s">
        <v>99</v>
      </c>
      <c r="P39" s="3" t="s">
        <v>99</v>
      </c>
      <c r="Q39" s="3" t="s">
        <v>99</v>
      </c>
      <c r="R39" s="3" t="s">
        <v>99</v>
      </c>
      <c r="S39" s="3" t="s">
        <v>184</v>
      </c>
      <c r="T39" s="3" t="s">
        <v>182</v>
      </c>
      <c r="U39" s="3" t="s">
        <v>91</v>
      </c>
      <c r="V39" s="4">
        <v>200</v>
      </c>
      <c r="W39" t="s">
        <v>167</v>
      </c>
      <c r="X39" t="s">
        <v>171</v>
      </c>
    </row>
    <row r="40" spans="1:24" x14ac:dyDescent="0.25">
      <c r="A40" t="s">
        <v>32</v>
      </c>
      <c r="B40" t="s">
        <v>33</v>
      </c>
      <c r="C40" s="3">
        <v>8.3000000000000007</v>
      </c>
      <c r="D40" s="3">
        <v>85</v>
      </c>
      <c r="E40" s="3">
        <v>3.0000000000000001E-3</v>
      </c>
      <c r="F40" s="3">
        <v>8.0000000000000002E-3</v>
      </c>
      <c r="G40" s="8">
        <v>1</v>
      </c>
      <c r="H40" s="3">
        <v>10</v>
      </c>
      <c r="I40" s="3">
        <v>10</v>
      </c>
      <c r="J40" s="8">
        <v>1</v>
      </c>
      <c r="K40" s="2" t="s">
        <v>99</v>
      </c>
      <c r="L40" s="2" t="s">
        <v>99</v>
      </c>
      <c r="M40" s="3">
        <f>231.7*0.001/365.25</f>
        <v>6.3436002737850782E-4</v>
      </c>
      <c r="N40" s="3">
        <f>333.7*0.001/365.25</f>
        <v>9.1362080766598224E-4</v>
      </c>
      <c r="O40" t="s">
        <v>99</v>
      </c>
      <c r="P40" t="s">
        <v>99</v>
      </c>
      <c r="Q40" s="3">
        <v>6.7700000000000004E-6</v>
      </c>
      <c r="R40" s="3">
        <v>7.76E-4</v>
      </c>
      <c r="S40" s="3" t="s">
        <v>178</v>
      </c>
      <c r="T40" s="3" t="s">
        <v>186</v>
      </c>
      <c r="U40" s="4" t="s">
        <v>91</v>
      </c>
      <c r="V40" s="4" t="s">
        <v>99</v>
      </c>
      <c r="W40" t="s">
        <v>172</v>
      </c>
    </row>
    <row r="41" spans="1:24" x14ac:dyDescent="0.25">
      <c r="A41" t="s">
        <v>348</v>
      </c>
      <c r="B41" t="s">
        <v>349</v>
      </c>
      <c r="C41" s="3">
        <v>1</v>
      </c>
      <c r="D41" s="3">
        <v>18</v>
      </c>
      <c r="E41" s="3">
        <v>0.1</v>
      </c>
      <c r="F41" s="3">
        <v>1</v>
      </c>
      <c r="G41" s="8">
        <v>0</v>
      </c>
      <c r="H41" s="3">
        <v>10</v>
      </c>
      <c r="I41" s="3">
        <v>10</v>
      </c>
      <c r="J41" s="8">
        <v>1</v>
      </c>
      <c r="K41">
        <v>0.15</v>
      </c>
      <c r="L41">
        <v>0.3</v>
      </c>
      <c r="M41" s="3">
        <f>0.016/365.25</f>
        <v>4.3805612594113624E-5</v>
      </c>
      <c r="N41" s="3">
        <f>0.098/365.25</f>
        <v>2.6830937713894594E-4</v>
      </c>
      <c r="O41" s="3" t="s">
        <v>99</v>
      </c>
      <c r="P41" s="3" t="s">
        <v>99</v>
      </c>
      <c r="Q41" s="3" t="s">
        <v>99</v>
      </c>
      <c r="R41" s="3" t="s">
        <v>99</v>
      </c>
      <c r="S41" s="3" t="s">
        <v>178</v>
      </c>
      <c r="T41" s="3" t="s">
        <v>187</v>
      </c>
      <c r="U41" s="3" t="s">
        <v>90</v>
      </c>
      <c r="V41" s="4">
        <v>40</v>
      </c>
      <c r="W41" t="s">
        <v>375</v>
      </c>
    </row>
    <row r="42" spans="1:24" x14ac:dyDescent="0.25">
      <c r="A42" t="s">
        <v>348</v>
      </c>
      <c r="B42" t="s">
        <v>349</v>
      </c>
      <c r="C42" s="3" t="s">
        <v>99</v>
      </c>
      <c r="D42" s="3" t="s">
        <v>99</v>
      </c>
      <c r="E42" s="3" t="s">
        <v>99</v>
      </c>
      <c r="F42" s="3" t="s">
        <v>99</v>
      </c>
      <c r="G42" s="8" t="s">
        <v>99</v>
      </c>
      <c r="H42" s="3" t="s">
        <v>99</v>
      </c>
      <c r="I42" s="3" t="s">
        <v>99</v>
      </c>
      <c r="J42" s="3" t="s">
        <v>99</v>
      </c>
      <c r="K42" s="2" t="s">
        <v>99</v>
      </c>
      <c r="L42" s="2" t="s">
        <v>99</v>
      </c>
      <c r="M42" s="3">
        <f>140/1000/365.25</f>
        <v>3.8329911019849424E-4</v>
      </c>
      <c r="N42" s="3">
        <f>185/1000/365.25</f>
        <v>5.0650239561943872E-4</v>
      </c>
      <c r="O42" s="3" t="s">
        <v>99</v>
      </c>
      <c r="P42" s="3" t="s">
        <v>99</v>
      </c>
      <c r="Q42" s="3" t="s">
        <v>99</v>
      </c>
      <c r="R42" s="3" t="s">
        <v>99</v>
      </c>
      <c r="S42" s="3" t="s">
        <v>99</v>
      </c>
      <c r="T42" s="3" t="s">
        <v>99</v>
      </c>
      <c r="U42" s="3" t="s">
        <v>90</v>
      </c>
      <c r="V42" s="3" t="s">
        <v>99</v>
      </c>
      <c r="W42" s="3" t="s">
        <v>376</v>
      </c>
    </row>
    <row r="43" spans="1:24" x14ac:dyDescent="0.25">
      <c r="A43" t="s">
        <v>62</v>
      </c>
      <c r="B43" t="s">
        <v>33</v>
      </c>
      <c r="C43" s="3">
        <v>0.64</v>
      </c>
      <c r="D43" s="3">
        <v>1062</v>
      </c>
      <c r="E43" s="3" t="s">
        <v>99</v>
      </c>
      <c r="F43" s="3" t="s">
        <v>99</v>
      </c>
      <c r="G43" s="8" t="s">
        <v>99</v>
      </c>
      <c r="H43" s="3" t="s">
        <v>99</v>
      </c>
      <c r="I43" s="3" t="s">
        <v>99</v>
      </c>
      <c r="J43" s="3" t="s">
        <v>99</v>
      </c>
      <c r="K43" s="2" t="s">
        <v>99</v>
      </c>
      <c r="L43" s="2" t="s">
        <v>99</v>
      </c>
      <c r="M43" s="2" t="s">
        <v>99</v>
      </c>
      <c r="N43" s="2" t="s">
        <v>99</v>
      </c>
      <c r="O43" s="2" t="s">
        <v>99</v>
      </c>
      <c r="P43" s="2" t="s">
        <v>99</v>
      </c>
      <c r="Q43" s="2" t="s">
        <v>99</v>
      </c>
      <c r="R43" s="2" t="s">
        <v>99</v>
      </c>
      <c r="S43" s="3" t="s">
        <v>392</v>
      </c>
      <c r="T43" s="3" t="s">
        <v>99</v>
      </c>
      <c r="U43" s="3" t="s">
        <v>91</v>
      </c>
      <c r="V43" t="s">
        <v>99</v>
      </c>
      <c r="W43" s="3" t="s">
        <v>393</v>
      </c>
    </row>
    <row r="44" spans="1:24" x14ac:dyDescent="0.25">
      <c r="A44" t="s">
        <v>60</v>
      </c>
      <c r="B44" t="s">
        <v>33</v>
      </c>
      <c r="C44" s="3">
        <v>0.64</v>
      </c>
      <c r="D44" s="3">
        <v>1062</v>
      </c>
      <c r="E44" s="3" t="s">
        <v>99</v>
      </c>
      <c r="F44" s="3" t="s">
        <v>99</v>
      </c>
      <c r="G44" s="8" t="s">
        <v>99</v>
      </c>
      <c r="H44" s="3" t="s">
        <v>99</v>
      </c>
      <c r="I44" s="3" t="s">
        <v>99</v>
      </c>
      <c r="J44" s="3" t="s">
        <v>99</v>
      </c>
      <c r="K44" s="2" t="s">
        <v>99</v>
      </c>
      <c r="L44" s="2" t="s">
        <v>99</v>
      </c>
      <c r="M44" s="2" t="s">
        <v>99</v>
      </c>
      <c r="N44" s="2" t="s">
        <v>99</v>
      </c>
      <c r="O44" s="2" t="s">
        <v>99</v>
      </c>
      <c r="P44" s="2" t="s">
        <v>99</v>
      </c>
      <c r="Q44" s="2" t="s">
        <v>99</v>
      </c>
      <c r="R44" s="2" t="s">
        <v>99</v>
      </c>
      <c r="S44" s="3" t="s">
        <v>392</v>
      </c>
      <c r="T44" s="3" t="s">
        <v>99</v>
      </c>
      <c r="U44" s="3" t="s">
        <v>91</v>
      </c>
      <c r="V44" t="s">
        <v>99</v>
      </c>
      <c r="W44" s="3" t="s">
        <v>393</v>
      </c>
    </row>
    <row r="45" spans="1:24" x14ac:dyDescent="0.25">
      <c r="A45" t="s">
        <v>2</v>
      </c>
      <c r="B45" t="s">
        <v>3</v>
      </c>
      <c r="C45" s="3">
        <v>8.6399999999999997E-4</v>
      </c>
      <c r="D45" s="3">
        <v>8.6389999999999993</v>
      </c>
      <c r="E45" s="3" t="s">
        <v>99</v>
      </c>
      <c r="F45" s="3" t="s">
        <v>99</v>
      </c>
      <c r="G45" s="8" t="s">
        <v>99</v>
      </c>
      <c r="H45" s="3" t="s">
        <v>99</v>
      </c>
      <c r="I45" s="3" t="s">
        <v>99</v>
      </c>
      <c r="J45" s="3" t="s">
        <v>99</v>
      </c>
      <c r="K45" s="2" t="s">
        <v>99</v>
      </c>
      <c r="L45" s="2" t="s">
        <v>99</v>
      </c>
      <c r="M45" s="2" t="s">
        <v>99</v>
      </c>
      <c r="N45" s="2" t="s">
        <v>99</v>
      </c>
      <c r="O45" s="2" t="s">
        <v>99</v>
      </c>
      <c r="P45" s="2" t="s">
        <v>99</v>
      </c>
      <c r="Q45" s="2" t="s">
        <v>99</v>
      </c>
      <c r="R45" s="2" t="s">
        <v>99</v>
      </c>
      <c r="S45" s="3" t="s">
        <v>392</v>
      </c>
      <c r="T45" s="3" t="s">
        <v>99</v>
      </c>
      <c r="U45" s="3" t="s">
        <v>91</v>
      </c>
      <c r="V45" t="s">
        <v>99</v>
      </c>
      <c r="W45" s="3" t="s">
        <v>393</v>
      </c>
    </row>
    <row r="46" spans="1:24" x14ac:dyDescent="0.25">
      <c r="A46" t="s">
        <v>18</v>
      </c>
      <c r="B46" t="s">
        <v>19</v>
      </c>
      <c r="C46" s="3">
        <v>0.64</v>
      </c>
      <c r="D46" s="3">
        <v>1062</v>
      </c>
      <c r="E46" s="3" t="s">
        <v>99</v>
      </c>
      <c r="F46" s="3" t="s">
        <v>99</v>
      </c>
      <c r="G46" s="8" t="s">
        <v>99</v>
      </c>
      <c r="H46" s="3" t="s">
        <v>99</v>
      </c>
      <c r="I46" s="3" t="s">
        <v>99</v>
      </c>
      <c r="J46" s="3" t="s">
        <v>99</v>
      </c>
      <c r="K46" s="2" t="s">
        <v>99</v>
      </c>
      <c r="L46" s="2" t="s">
        <v>99</v>
      </c>
      <c r="M46" s="2" t="s">
        <v>99</v>
      </c>
      <c r="N46" s="2" t="s">
        <v>99</v>
      </c>
      <c r="O46" s="2" t="s">
        <v>99</v>
      </c>
      <c r="P46" s="2" t="s">
        <v>99</v>
      </c>
      <c r="Q46" s="2" t="s">
        <v>99</v>
      </c>
      <c r="R46" s="2" t="s">
        <v>99</v>
      </c>
      <c r="S46" s="3" t="s">
        <v>392</v>
      </c>
      <c r="T46" s="3" t="s">
        <v>99</v>
      </c>
      <c r="U46" s="3" t="s">
        <v>91</v>
      </c>
      <c r="V46" t="s">
        <v>99</v>
      </c>
      <c r="W46" s="3" t="s">
        <v>393</v>
      </c>
    </row>
    <row r="47" spans="1:24" x14ac:dyDescent="0.25">
      <c r="A47" t="s">
        <v>40</v>
      </c>
      <c r="B47" t="s">
        <v>28</v>
      </c>
      <c r="C47" s="3">
        <v>0.64</v>
      </c>
      <c r="D47" s="3">
        <v>1062</v>
      </c>
      <c r="E47" s="3" t="s">
        <v>99</v>
      </c>
      <c r="F47" s="3" t="s">
        <v>99</v>
      </c>
      <c r="G47" s="8" t="s">
        <v>99</v>
      </c>
      <c r="H47" s="3" t="s">
        <v>99</v>
      </c>
      <c r="I47" s="3" t="s">
        <v>99</v>
      </c>
      <c r="J47" s="3" t="s">
        <v>99</v>
      </c>
      <c r="K47" s="2" t="s">
        <v>99</v>
      </c>
      <c r="L47" s="2" t="s">
        <v>99</v>
      </c>
      <c r="M47" s="2" t="s">
        <v>99</v>
      </c>
      <c r="N47" s="2" t="s">
        <v>99</v>
      </c>
      <c r="O47" s="2" t="s">
        <v>99</v>
      </c>
      <c r="P47" s="2" t="s">
        <v>99</v>
      </c>
      <c r="Q47" s="2" t="s">
        <v>99</v>
      </c>
      <c r="R47" s="2" t="s">
        <v>99</v>
      </c>
      <c r="S47" s="3" t="s">
        <v>392</v>
      </c>
      <c r="T47" s="3" t="s">
        <v>99</v>
      </c>
      <c r="U47" s="3" t="s">
        <v>91</v>
      </c>
      <c r="V47" t="s">
        <v>99</v>
      </c>
      <c r="W47" s="3" t="s">
        <v>393</v>
      </c>
    </row>
    <row r="48" spans="1:24" x14ac:dyDescent="0.25">
      <c r="A48" t="s">
        <v>2</v>
      </c>
      <c r="B48" t="s">
        <v>3</v>
      </c>
      <c r="C48" s="3" t="s">
        <v>99</v>
      </c>
      <c r="D48" s="3" t="s">
        <v>99</v>
      </c>
      <c r="E48" s="3" t="s">
        <v>99</v>
      </c>
      <c r="F48" s="3" t="s">
        <v>99</v>
      </c>
      <c r="G48" s="8" t="s">
        <v>99</v>
      </c>
      <c r="H48" s="3" t="s">
        <v>99</v>
      </c>
      <c r="I48" s="3" t="s">
        <v>99</v>
      </c>
      <c r="J48" s="3" t="s">
        <v>99</v>
      </c>
      <c r="K48" s="2" t="s">
        <v>99</v>
      </c>
      <c r="L48" s="2" t="s">
        <v>99</v>
      </c>
      <c r="M48" s="2" t="s">
        <v>99</v>
      </c>
      <c r="N48" s="2" t="s">
        <v>99</v>
      </c>
      <c r="O48" s="4">
        <f>1/1.09*0.5</f>
        <v>0.4587155963302752</v>
      </c>
      <c r="P48" s="2">
        <f>1/0.036*0.5</f>
        <v>13.888888888888889</v>
      </c>
      <c r="Q48" s="2" t="s">
        <v>99</v>
      </c>
      <c r="R48" s="2" t="s">
        <v>99</v>
      </c>
      <c r="S48" s="3" t="s">
        <v>184</v>
      </c>
      <c r="T48" s="3" t="s">
        <v>99</v>
      </c>
      <c r="U48" s="3" t="s">
        <v>91</v>
      </c>
      <c r="V48" t="s">
        <v>99</v>
      </c>
      <c r="W48" s="3" t="s">
        <v>403</v>
      </c>
      <c r="X48" s="3" t="s">
        <v>404</v>
      </c>
    </row>
    <row r="49" spans="1:24" x14ac:dyDescent="0.25">
      <c r="A49" t="s">
        <v>7</v>
      </c>
      <c r="B49" t="s">
        <v>8</v>
      </c>
      <c r="C49" s="3">
        <v>0.1</v>
      </c>
      <c r="D49" s="3">
        <v>100</v>
      </c>
      <c r="E49" s="3">
        <v>3.16E-3</v>
      </c>
      <c r="F49" s="3">
        <v>0.1</v>
      </c>
      <c r="G49" s="8">
        <v>1</v>
      </c>
      <c r="H49" s="3" t="s">
        <v>99</v>
      </c>
      <c r="I49" s="3" t="s">
        <v>99</v>
      </c>
      <c r="J49">
        <v>1</v>
      </c>
      <c r="K49" s="2" t="s">
        <v>99</v>
      </c>
      <c r="L49" s="2" t="s">
        <v>99</v>
      </c>
      <c r="M49" s="4">
        <v>2.5000000000000001E-4</v>
      </c>
      <c r="N49" s="4">
        <v>1E-3</v>
      </c>
      <c r="O49" s="3">
        <v>30</v>
      </c>
      <c r="P49">
        <v>6000</v>
      </c>
      <c r="Q49" s="2" t="s">
        <v>99</v>
      </c>
      <c r="R49" s="2" t="s">
        <v>99</v>
      </c>
      <c r="S49" s="3" t="s">
        <v>178</v>
      </c>
      <c r="T49" s="3" t="s">
        <v>187</v>
      </c>
      <c r="U49" s="3" t="s">
        <v>91</v>
      </c>
      <c r="V49">
        <v>300</v>
      </c>
      <c r="W49" s="3" t="s">
        <v>405</v>
      </c>
      <c r="X49" t="s">
        <v>406</v>
      </c>
    </row>
    <row r="50" spans="1:24" x14ac:dyDescent="0.25">
      <c r="G50" s="8"/>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4F2B-EBB5-4AC0-A4A0-A713F56F3A01}">
  <dimension ref="A1:A76"/>
  <sheetViews>
    <sheetView zoomScale="115" zoomScaleNormal="115" workbookViewId="0">
      <selection activeCell="A3" sqref="A3"/>
    </sheetView>
  </sheetViews>
  <sheetFormatPr defaultRowHeight="15" x14ac:dyDescent="0.25"/>
  <cols>
    <col min="1" max="1" width="255.7109375" bestFit="1" customWidth="1"/>
  </cols>
  <sheetData>
    <row r="1" spans="1:1" x14ac:dyDescent="0.25">
      <c r="A1" s="9"/>
    </row>
    <row r="2" spans="1:1" x14ac:dyDescent="0.25">
      <c r="A2" s="10" t="s">
        <v>271</v>
      </c>
    </row>
    <row r="3" spans="1:1" x14ac:dyDescent="0.25">
      <c r="A3" s="10" t="s">
        <v>272</v>
      </c>
    </row>
    <row r="4" spans="1:1" x14ac:dyDescent="0.25">
      <c r="A4" s="10" t="s">
        <v>273</v>
      </c>
    </row>
    <row r="5" spans="1:1" x14ac:dyDescent="0.25">
      <c r="A5" s="10" t="s">
        <v>274</v>
      </c>
    </row>
    <row r="6" spans="1:1" x14ac:dyDescent="0.25">
      <c r="A6" s="10" t="s">
        <v>275</v>
      </c>
    </row>
    <row r="7" spans="1:1" x14ac:dyDescent="0.25">
      <c r="A7" s="10" t="s">
        <v>276</v>
      </c>
    </row>
    <row r="8" spans="1:1" x14ac:dyDescent="0.25">
      <c r="A8" s="10" t="s">
        <v>277</v>
      </c>
    </row>
    <row r="9" spans="1:1" x14ac:dyDescent="0.25">
      <c r="A9" s="10" t="s">
        <v>278</v>
      </c>
    </row>
    <row r="10" spans="1:1" x14ac:dyDescent="0.25">
      <c r="A10" s="10" t="s">
        <v>279</v>
      </c>
    </row>
    <row r="11" spans="1:1" x14ac:dyDescent="0.25">
      <c r="A11" s="10" t="s">
        <v>280</v>
      </c>
    </row>
    <row r="12" spans="1:1" x14ac:dyDescent="0.25">
      <c r="A12" s="10" t="s">
        <v>281</v>
      </c>
    </row>
    <row r="13" spans="1:1" x14ac:dyDescent="0.25">
      <c r="A13" s="10" t="s">
        <v>282</v>
      </c>
    </row>
    <row r="14" spans="1:1" x14ac:dyDescent="0.25">
      <c r="A14" s="10" t="s">
        <v>283</v>
      </c>
    </row>
    <row r="15" spans="1:1" x14ac:dyDescent="0.25">
      <c r="A15" s="10" t="s">
        <v>284</v>
      </c>
    </row>
    <row r="16" spans="1:1" x14ac:dyDescent="0.25">
      <c r="A16" s="10" t="s">
        <v>285</v>
      </c>
    </row>
    <row r="17" spans="1:1" x14ac:dyDescent="0.25">
      <c r="A17" s="10" t="s">
        <v>286</v>
      </c>
    </row>
    <row r="18" spans="1:1" x14ac:dyDescent="0.25">
      <c r="A18" s="10" t="s">
        <v>287</v>
      </c>
    </row>
    <row r="19" spans="1:1" x14ac:dyDescent="0.25">
      <c r="A19" s="10" t="s">
        <v>288</v>
      </c>
    </row>
    <row r="20" spans="1:1" x14ac:dyDescent="0.25">
      <c r="A20" s="10" t="s">
        <v>289</v>
      </c>
    </row>
    <row r="21" spans="1:1" x14ac:dyDescent="0.25">
      <c r="A21" s="10" t="s">
        <v>290</v>
      </c>
    </row>
    <row r="22" spans="1:1" x14ac:dyDescent="0.25">
      <c r="A22" s="10" t="s">
        <v>291</v>
      </c>
    </row>
    <row r="23" spans="1:1" x14ac:dyDescent="0.25">
      <c r="A23" s="10" t="s">
        <v>292</v>
      </c>
    </row>
    <row r="24" spans="1:1" x14ac:dyDescent="0.25">
      <c r="A24" s="10" t="s">
        <v>293</v>
      </c>
    </row>
    <row r="25" spans="1:1" x14ac:dyDescent="0.25">
      <c r="A25" s="10" t="s">
        <v>294</v>
      </c>
    </row>
    <row r="26" spans="1:1" x14ac:dyDescent="0.25">
      <c r="A26" s="10" t="s">
        <v>295</v>
      </c>
    </row>
    <row r="27" spans="1:1" x14ac:dyDescent="0.25">
      <c r="A27" s="10" t="s">
        <v>296</v>
      </c>
    </row>
    <row r="28" spans="1:1" x14ac:dyDescent="0.25">
      <c r="A28" s="10" t="s">
        <v>297</v>
      </c>
    </row>
    <row r="29" spans="1:1" x14ac:dyDescent="0.25">
      <c r="A29" s="10" t="s">
        <v>298</v>
      </c>
    </row>
    <row r="30" spans="1:1" x14ac:dyDescent="0.25">
      <c r="A30" s="10" t="s">
        <v>299</v>
      </c>
    </row>
    <row r="31" spans="1:1" x14ac:dyDescent="0.25">
      <c r="A31" s="10" t="s">
        <v>300</v>
      </c>
    </row>
    <row r="32" spans="1:1" x14ac:dyDescent="0.25">
      <c r="A32" s="10" t="s">
        <v>301</v>
      </c>
    </row>
    <row r="33" spans="1:1" x14ac:dyDescent="0.25">
      <c r="A33" s="10" t="s">
        <v>302</v>
      </c>
    </row>
    <row r="34" spans="1:1" x14ac:dyDescent="0.25">
      <c r="A34" s="10" t="s">
        <v>303</v>
      </c>
    </row>
    <row r="35" spans="1:1" x14ac:dyDescent="0.25">
      <c r="A35" s="10" t="s">
        <v>304</v>
      </c>
    </row>
    <row r="36" spans="1:1" x14ac:dyDescent="0.25">
      <c r="A36" s="10" t="s">
        <v>305</v>
      </c>
    </row>
    <row r="37" spans="1:1" x14ac:dyDescent="0.25">
      <c r="A37" s="10" t="s">
        <v>306</v>
      </c>
    </row>
    <row r="38" spans="1:1" x14ac:dyDescent="0.25">
      <c r="A38" s="10" t="s">
        <v>307</v>
      </c>
    </row>
    <row r="39" spans="1:1" x14ac:dyDescent="0.25">
      <c r="A39" s="10" t="s">
        <v>308</v>
      </c>
    </row>
    <row r="40" spans="1:1" x14ac:dyDescent="0.25">
      <c r="A40" s="10" t="s">
        <v>309</v>
      </c>
    </row>
    <row r="41" spans="1:1" x14ac:dyDescent="0.25">
      <c r="A41" s="10" t="s">
        <v>310</v>
      </c>
    </row>
    <row r="42" spans="1:1" x14ac:dyDescent="0.25">
      <c r="A42" s="10" t="s">
        <v>311</v>
      </c>
    </row>
    <row r="43" spans="1:1" x14ac:dyDescent="0.25">
      <c r="A43" s="10" t="s">
        <v>312</v>
      </c>
    </row>
    <row r="44" spans="1:1" x14ac:dyDescent="0.25">
      <c r="A44" s="10" t="s">
        <v>313</v>
      </c>
    </row>
    <row r="45" spans="1:1" x14ac:dyDescent="0.25">
      <c r="A45" s="10" t="s">
        <v>314</v>
      </c>
    </row>
    <row r="46" spans="1:1" x14ac:dyDescent="0.25">
      <c r="A46" s="10" t="s">
        <v>315</v>
      </c>
    </row>
    <row r="47" spans="1:1" x14ac:dyDescent="0.25">
      <c r="A47" s="10" t="s">
        <v>316</v>
      </c>
    </row>
    <row r="48" spans="1:1" x14ac:dyDescent="0.25">
      <c r="A48" s="10" t="s">
        <v>317</v>
      </c>
    </row>
    <row r="49" spans="1:1" x14ac:dyDescent="0.25">
      <c r="A49" s="10" t="s">
        <v>318</v>
      </c>
    </row>
    <row r="50" spans="1:1" x14ac:dyDescent="0.25">
      <c r="A50" s="10" t="s">
        <v>319</v>
      </c>
    </row>
    <row r="51" spans="1:1" x14ac:dyDescent="0.25">
      <c r="A51" s="10" t="s">
        <v>320</v>
      </c>
    </row>
    <row r="52" spans="1:1" x14ac:dyDescent="0.25">
      <c r="A52" s="10" t="s">
        <v>321</v>
      </c>
    </row>
    <row r="53" spans="1:1" x14ac:dyDescent="0.25">
      <c r="A53" s="10" t="s">
        <v>322</v>
      </c>
    </row>
    <row r="54" spans="1:1" x14ac:dyDescent="0.25">
      <c r="A54" s="10" t="s">
        <v>323</v>
      </c>
    </row>
    <row r="55" spans="1:1" x14ac:dyDescent="0.25">
      <c r="A55" s="10" t="s">
        <v>324</v>
      </c>
    </row>
    <row r="56" spans="1:1" x14ac:dyDescent="0.25">
      <c r="A56" s="10" t="s">
        <v>325</v>
      </c>
    </row>
    <row r="57" spans="1:1" x14ac:dyDescent="0.25">
      <c r="A57" s="10" t="s">
        <v>326</v>
      </c>
    </row>
    <row r="58" spans="1:1" x14ac:dyDescent="0.25">
      <c r="A58" s="10" t="s">
        <v>327</v>
      </c>
    </row>
    <row r="59" spans="1:1" x14ac:dyDescent="0.25">
      <c r="A59" s="10" t="s">
        <v>328</v>
      </c>
    </row>
    <row r="60" spans="1:1" x14ac:dyDescent="0.25">
      <c r="A60" s="10" t="s">
        <v>329</v>
      </c>
    </row>
    <row r="61" spans="1:1" x14ac:dyDescent="0.25">
      <c r="A61" s="10" t="s">
        <v>330</v>
      </c>
    </row>
    <row r="62" spans="1:1" x14ac:dyDescent="0.25">
      <c r="A62" s="10" t="s">
        <v>331</v>
      </c>
    </row>
    <row r="63" spans="1:1" x14ac:dyDescent="0.25">
      <c r="A63" s="10" t="s">
        <v>332</v>
      </c>
    </row>
    <row r="64" spans="1:1" x14ac:dyDescent="0.25">
      <c r="A64" s="10" t="s">
        <v>333</v>
      </c>
    </row>
    <row r="65" spans="1:1" x14ac:dyDescent="0.25">
      <c r="A65" s="10" t="s">
        <v>334</v>
      </c>
    </row>
    <row r="66" spans="1:1" x14ac:dyDescent="0.25">
      <c r="A66" s="10" t="s">
        <v>335</v>
      </c>
    </row>
    <row r="67" spans="1:1" x14ac:dyDescent="0.25">
      <c r="A67" s="10" t="s">
        <v>336</v>
      </c>
    </row>
    <row r="68" spans="1:1" x14ac:dyDescent="0.25">
      <c r="A68" s="10" t="s">
        <v>337</v>
      </c>
    </row>
    <row r="69" spans="1:1" x14ac:dyDescent="0.25">
      <c r="A69" s="10" t="s">
        <v>338</v>
      </c>
    </row>
    <row r="70" spans="1:1" x14ac:dyDescent="0.25">
      <c r="A70" s="10" t="s">
        <v>339</v>
      </c>
    </row>
    <row r="71" spans="1:1" x14ac:dyDescent="0.25">
      <c r="A71" s="10" t="s">
        <v>340</v>
      </c>
    </row>
    <row r="72" spans="1:1" x14ac:dyDescent="0.25">
      <c r="A72" s="10" t="s">
        <v>341</v>
      </c>
    </row>
    <row r="76" spans="1:1" x14ac:dyDescent="0.25">
      <c r="A7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Geometry_Raw</vt:lpstr>
      <vt:lpstr>Lithology_Raw</vt:lpstr>
      <vt:lpstr>BC_Raw</vt:lpstr>
      <vt:lpstr>Hydrogeology_Raw</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Joeri van Engelen</dc:creator>
  <cp:lastModifiedBy>Joeri van Engelen</cp:lastModifiedBy>
  <dcterms:created xsi:type="dcterms:W3CDTF">2019-02-26T11:00:02Z</dcterms:created>
  <dcterms:modified xsi:type="dcterms:W3CDTF">2020-01-29T08:29:45Z</dcterms:modified>
</cp:coreProperties>
</file>