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60" activeTab="1"/>
  </bookViews>
  <sheets>
    <sheet name="Basic functions" sheetId="1" r:id="rId1"/>
    <sheet name="Loan analysis" sheetId="2" r:id="rId2"/>
  </sheets>
  <definedNames>
    <definedName name="solver_adj" localSheetId="1" hidden="1">'Loan analysis'!$D$6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'Loan analysis'!$AQ$16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500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<sst xmlns="http://schemas.openxmlformats.org/spreadsheetml/2006/main" count="57" uniqueCount="53">
  <si>
    <t>Item</t>
  </si>
  <si>
    <t>Function</t>
  </si>
  <si>
    <t>Alice</t>
  </si>
  <si>
    <t>Bodhi</t>
  </si>
  <si>
    <t>Cong Ming</t>
  </si>
  <si>
    <t>Payment</t>
  </si>
  <si>
    <t>PMT</t>
  </si>
  <si>
    <t>Final value</t>
  </si>
  <si>
    <t>FV</t>
  </si>
  <si>
    <t>Number of payments</t>
  </si>
  <si>
    <t>NPER</t>
  </si>
  <si>
    <t>Interest rate</t>
  </si>
  <si>
    <t>RATE</t>
  </si>
  <si>
    <t>Present value</t>
  </si>
  <si>
    <t>PV</t>
  </si>
  <si>
    <t>What-if analysis</t>
  </si>
  <si>
    <t>- used to express Bodhi's payment in thousands</t>
  </si>
  <si>
    <t>- see the entry in cell D2</t>
  </si>
  <si>
    <t>Monthly Withdrawal Analysis</t>
  </si>
  <si>
    <t>Pmt (000s)</t>
  </si>
  <si>
    <t>Example of a what-if table</t>
  </si>
  <si>
    <t>Example of a graph using design choices</t>
  </si>
  <si>
    <t>LOAN DETAILS</t>
  </si>
  <si>
    <t>AMORTIZATION TABLE</t>
  </si>
  <si>
    <t>ADDING DEFAULTS</t>
  </si>
  <si>
    <t>BANK LOAN ANALYSIS</t>
  </si>
  <si>
    <t>GRAPH DATA</t>
  </si>
  <si>
    <t>Loan amount</t>
  </si>
  <si>
    <t>Month</t>
  </si>
  <si>
    <t>Begin</t>
  </si>
  <si>
    <t>Interest</t>
  </si>
  <si>
    <t>Prin Redox</t>
  </si>
  <si>
    <t>End</t>
  </si>
  <si>
    <t>Prob</t>
  </si>
  <si>
    <t>Payments received</t>
  </si>
  <si>
    <t>PV receipts</t>
  </si>
  <si>
    <t>Months</t>
  </si>
  <si>
    <t>Annual rate</t>
  </si>
  <si>
    <t>Monthly rate</t>
  </si>
  <si>
    <t>Monthly</t>
  </si>
  <si>
    <t>Annual</t>
  </si>
  <si>
    <t>Bank's cost of capital</t>
  </si>
  <si>
    <t>Total payments</t>
  </si>
  <si>
    <t>Default rate</t>
  </si>
  <si>
    <t>BANK PARAMETERS</t>
  </si>
  <si>
    <t>Expected loan value</t>
  </si>
  <si>
    <t>Yield to maturity (promised)</t>
  </si>
  <si>
    <t>Monthly default rate</t>
  </si>
  <si>
    <t>Credit spread</t>
  </si>
  <si>
    <t>Annual cost of capital</t>
  </si>
  <si>
    <t>Net present value</t>
  </si>
  <si>
    <t>r*</t>
  </si>
  <si>
    <t>C0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</si>
</sst>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_);[Red]\(&quot;$&quot;#,##0.00\)"/>
    <numFmt numFmtId="177" formatCode="#,##0.0000_);[Red]\(#,##0.0000\)"/>
    <numFmt numFmtId="178" formatCode="&quot;$&quot;#,##0.00"/>
    <numFmt numFmtId="179" formatCode="0.0000%"/>
    <numFmt numFmtId="180" formatCode="0.000000%"/>
    <numFmt numFmtId="181" formatCode="0.0000000000000%"/>
    <numFmt numFmtId="182" formatCode="0.000000000%"/>
  </numFmts>
  <fonts count="24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9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176" fontId="0" fillId="0" borderId="0" xfId="0" applyNumberFormat="1"/>
    <xf numFmtId="0" fontId="2" fillId="0" borderId="0" xfId="0" applyFont="1" applyAlignment="1">
      <alignment horizontal="right"/>
    </xf>
    <xf numFmtId="178" fontId="0" fillId="0" borderId="0" xfId="0" applyNumberFormat="1"/>
    <xf numFmtId="4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left"/>
    </xf>
    <xf numFmtId="179" fontId="0" fillId="0" borderId="0" xfId="0" applyNumberFormat="1"/>
    <xf numFmtId="1" fontId="0" fillId="0" borderId="0" xfId="0" applyNumberFormat="1"/>
    <xf numFmtId="4" fontId="0" fillId="0" borderId="1" xfId="0" applyNumberFormat="1" applyBorder="1"/>
    <xf numFmtId="180" fontId="0" fillId="0" borderId="0" xfId="0" applyNumberFormat="1"/>
    <xf numFmtId="177" fontId="0" fillId="0" borderId="0" xfId="0" applyNumberFormat="1"/>
    <xf numFmtId="181" fontId="0" fillId="0" borderId="0" xfId="0" applyNumberFormat="1"/>
    <xf numFmtId="182" fontId="0" fillId="0" borderId="0" xfId="0" applyNumberFormat="1"/>
    <xf numFmtId="0" fontId="2" fillId="0" borderId="0" xfId="0" applyFont="1"/>
    <xf numFmtId="3" fontId="0" fillId="0" borderId="0" xfId="0" applyNumberFormat="1"/>
    <xf numFmtId="10" fontId="0" fillId="0" borderId="1" xfId="0" applyNumberFormat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Border="1"/>
    <xf numFmtId="0" fontId="0" fillId="0" borderId="2" xfId="0" applyBorder="1" applyAlignment="1">
      <alignment horizontal="right"/>
    </xf>
    <xf numFmtId="1" fontId="0" fillId="0" borderId="3" xfId="0" applyNumberFormat="1" applyBorder="1"/>
    <xf numFmtId="3" fontId="0" fillId="0" borderId="4" xfId="0" applyNumberFormat="1" applyBorder="1"/>
    <xf numFmtId="1" fontId="0" fillId="0" borderId="5" xfId="0" applyNumberFormat="1" applyBorder="1"/>
    <xf numFmtId="0" fontId="3" fillId="0" borderId="0" xfId="0" applyFont="1"/>
    <xf numFmtId="3" fontId="0" fillId="0" borderId="6" xfId="0" applyNumberFormat="1" applyBorder="1"/>
    <xf numFmtId="1" fontId="0" fillId="0" borderId="7" xfId="0" applyNumberFormat="1" applyBorder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000"/>
              <a:t>Months of Payments Achieved vs payment per month ('000s)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7944141464221"/>
          <c:y val="0.211830985915493"/>
          <c:w val="0.927284746322922"/>
          <c:h val="0.596056338028169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'Basic functions'!$C$21:$C$31</c:f>
              <c:numCache>
                <c:formatCode>#,##0</c:formatCode>
                <c:ptCount val="11"/>
                <c:pt idx="0" c:formatCode="#,##0">
                  <c:v>12</c:v>
                </c:pt>
                <c:pt idx="1" c:formatCode="#,##0">
                  <c:v>14</c:v>
                </c:pt>
                <c:pt idx="2" c:formatCode="#,##0">
                  <c:v>16</c:v>
                </c:pt>
                <c:pt idx="3" c:formatCode="#,##0">
                  <c:v>18</c:v>
                </c:pt>
                <c:pt idx="4" c:formatCode="#,##0">
                  <c:v>20</c:v>
                </c:pt>
                <c:pt idx="5" c:formatCode="#,##0">
                  <c:v>22</c:v>
                </c:pt>
                <c:pt idx="6" c:formatCode="#,##0">
                  <c:v>24</c:v>
                </c:pt>
                <c:pt idx="7" c:formatCode="#,##0">
                  <c:v>26</c:v>
                </c:pt>
                <c:pt idx="8" c:formatCode="#,##0">
                  <c:v>28</c:v>
                </c:pt>
                <c:pt idx="9" c:formatCode="#,##0">
                  <c:v>30</c:v>
                </c:pt>
                <c:pt idx="10" c:formatCode="#,##0">
                  <c:v>32</c:v>
                </c:pt>
              </c:numCache>
            </c:numRef>
          </c:cat>
          <c:val>
            <c:numRef>
              <c:f>'Basic functions'!$D$21:$D$31</c:f>
              <c:numCache>
                <c:formatCode>0</c:formatCode>
                <c:ptCount val="11"/>
                <c:pt idx="0">
                  <c:v>350.713843872325</c:v>
                </c:pt>
                <c:pt idx="1">
                  <c:v>243.886756958761</c:v>
                </c:pt>
                <c:pt idx="2">
                  <c:v>190.290256752057</c:v>
                </c:pt>
                <c:pt idx="3">
                  <c:v>156.942922182631</c:v>
                </c:pt>
                <c:pt idx="4">
                  <c:v>133.899511632644</c:v>
                </c:pt>
                <c:pt idx="5">
                  <c:v>116.920587839707</c:v>
                </c:pt>
                <c:pt idx="6">
                  <c:v>103.847374580941</c:v>
                </c:pt>
                <c:pt idx="7">
                  <c:v>93.4507971298081</c:v>
                </c:pt>
                <c:pt idx="8">
                  <c:v>84.9745803294728</c:v>
                </c:pt>
                <c:pt idx="9">
                  <c:v>77.9257654159997</c:v>
                </c:pt>
                <c:pt idx="10">
                  <c:v>71.9683418531586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2690848"/>
        <c:axId val="542684288"/>
      </c:lineChart>
      <c:catAx>
        <c:axId val="5426908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684288"/>
        <c:crosses val="autoZero"/>
        <c:auto val="1"/>
        <c:lblAlgn val="ctr"/>
        <c:lblOffset val="100"/>
        <c:noMultiLvlLbl val="0"/>
      </c:catAx>
      <c:valAx>
        <c:axId val="5426842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6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Principal and Interest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"Principal Reduction"</c:f>
              <c:strCache>
                <c:ptCount val="1"/>
                <c:pt idx="0">
                  <c:v>Principal Reduction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'Loan analysis'!$AU$4:$AU$27</c:f>
              <c:numCache>
                <c:formatCode>#,##0.00</c:formatCode>
                <c:ptCount val="24"/>
                <c:pt idx="0">
                  <c:v>196.603051263789</c:v>
                </c:pt>
                <c:pt idx="1">
                  <c:v>197.586066520108</c:v>
                </c:pt>
                <c:pt idx="2">
                  <c:v>198.573996852708</c:v>
                </c:pt>
                <c:pt idx="3">
                  <c:v>199.566866836972</c:v>
                </c:pt>
                <c:pt idx="4">
                  <c:v>200.564701171157</c:v>
                </c:pt>
                <c:pt idx="5">
                  <c:v>201.567524677013</c:v>
                </c:pt>
                <c:pt idx="6">
                  <c:v>202.575362300398</c:v>
                </c:pt>
                <c:pt idx="7">
                  <c:v>203.5882391119</c:v>
                </c:pt>
                <c:pt idx="8">
                  <c:v>204.606180307459</c:v>
                </c:pt>
                <c:pt idx="9">
                  <c:v>205.629211208996</c:v>
                </c:pt>
                <c:pt idx="10">
                  <c:v>206.657357265041</c:v>
                </c:pt>
                <c:pt idx="11">
                  <c:v>207.690644051367</c:v>
                </c:pt>
                <c:pt idx="12">
                  <c:v>208.729097271623</c:v>
                </c:pt>
                <c:pt idx="13">
                  <c:v>209.772742757982</c:v>
                </c:pt>
                <c:pt idx="14">
                  <c:v>210.821606471772</c:v>
                </c:pt>
                <c:pt idx="15">
                  <c:v>211.87571450413</c:v>
                </c:pt>
                <c:pt idx="16">
                  <c:v>212.935093076651</c:v>
                </c:pt>
                <c:pt idx="17">
                  <c:v>213.999768542034</c:v>
                </c:pt>
                <c:pt idx="18">
                  <c:v>215.069767384744</c:v>
                </c:pt>
                <c:pt idx="19">
                  <c:v>216.145116221668</c:v>
                </c:pt>
                <c:pt idx="20">
                  <c:v>217.225841802777</c:v>
                </c:pt>
                <c:pt idx="21">
                  <c:v>218.31197101179</c:v>
                </c:pt>
                <c:pt idx="22">
                  <c:v>219.403530866849</c:v>
                </c:pt>
                <c:pt idx="23">
                  <c:v>220.500548521184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5489856"/>
        <c:axId val="545485264"/>
      </c:lineChart>
      <c:lineChart>
        <c:grouping val="standard"/>
        <c:varyColors val="0"/>
        <c:ser>
          <c:idx val="0"/>
          <c:order val="0"/>
          <c:tx>
            <c:strRef>
              <c:f>"Interest"</c:f>
              <c:strCache>
                <c:ptCount val="1"/>
                <c:pt idx="0">
                  <c:v>Interest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'Loan analysis'!$AT$4:$AT$27</c:f>
              <c:numCache>
                <c:formatCode>#,##0.00</c:formatCode>
                <c:ptCount val="24"/>
                <c:pt idx="0">
                  <c:v>25</c:v>
                </c:pt>
                <c:pt idx="1">
                  <c:v>24.0169847436811</c:v>
                </c:pt>
                <c:pt idx="2">
                  <c:v>23.0290544110805</c:v>
                </c:pt>
                <c:pt idx="3">
                  <c:v>22.036184426817</c:v>
                </c:pt>
                <c:pt idx="4">
                  <c:v>21.0383500926321</c:v>
                </c:pt>
                <c:pt idx="5">
                  <c:v>20.0355265867763</c:v>
                </c:pt>
                <c:pt idx="6">
                  <c:v>19.0276889633913</c:v>
                </c:pt>
                <c:pt idx="7">
                  <c:v>18.0148121518893</c:v>
                </c:pt>
                <c:pt idx="8">
                  <c:v>16.9968709563298</c:v>
                </c:pt>
                <c:pt idx="9">
                  <c:v>15.9738400547925</c:v>
                </c:pt>
                <c:pt idx="10">
                  <c:v>14.9456939987475</c:v>
                </c:pt>
                <c:pt idx="11">
                  <c:v>13.9124072124223</c:v>
                </c:pt>
                <c:pt idx="12">
                  <c:v>12.8739539921655</c:v>
                </c:pt>
                <c:pt idx="13">
                  <c:v>11.8303085058073</c:v>
                </c:pt>
                <c:pt idx="14">
                  <c:v>10.7814447920174</c:v>
                </c:pt>
                <c:pt idx="15">
                  <c:v>9.72733675965858</c:v>
                </c:pt>
                <c:pt idx="16">
                  <c:v>8.66795818713793</c:v>
                </c:pt>
                <c:pt idx="17">
                  <c:v>7.60328272175467</c:v>
                </c:pt>
                <c:pt idx="18">
                  <c:v>6.5332838790445</c:v>
                </c:pt>
                <c:pt idx="19">
                  <c:v>5.45793504212078</c:v>
                </c:pt>
                <c:pt idx="20">
                  <c:v>4.37720946101244</c:v>
                </c:pt>
                <c:pt idx="21">
                  <c:v>3.29108025199856</c:v>
                </c:pt>
                <c:pt idx="22">
                  <c:v>2.1995203969396</c:v>
                </c:pt>
                <c:pt idx="23">
                  <c:v>1.10250274260536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6727464"/>
        <c:axId val="636724840"/>
      </c:lineChart>
      <c:catAx>
        <c:axId val="5454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485264"/>
        <c:crosses val="autoZero"/>
        <c:auto val="1"/>
        <c:lblAlgn val="ctr"/>
        <c:lblOffset val="100"/>
        <c:noMultiLvlLbl val="0"/>
      </c:catAx>
      <c:valAx>
        <c:axId val="5454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489856"/>
        <c:crosses val="autoZero"/>
        <c:crossBetween val="between"/>
      </c:valAx>
      <c:catAx>
        <c:axId val="63672746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724840"/>
        <c:crosses val="autoZero"/>
        <c:auto val="1"/>
        <c:lblAlgn val="ctr"/>
        <c:lblOffset val="100"/>
        <c:noMultiLvlLbl val="0"/>
      </c:catAx>
      <c:valAx>
        <c:axId val="636724840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7274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Decomposition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"Interest"</c:f>
              <c:strCache>
                <c:ptCount val="1"/>
                <c:pt idx="0">
                  <c:v>Interest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'Loan analysis'!$AT$4:$AT$27</c:f>
              <c:numCache>
                <c:formatCode>#,##0.00</c:formatCode>
                <c:ptCount val="24"/>
                <c:pt idx="0">
                  <c:v>25</c:v>
                </c:pt>
                <c:pt idx="1">
                  <c:v>24.0169847436811</c:v>
                </c:pt>
                <c:pt idx="2">
                  <c:v>23.0290544110805</c:v>
                </c:pt>
                <c:pt idx="3">
                  <c:v>22.036184426817</c:v>
                </c:pt>
                <c:pt idx="4">
                  <c:v>21.0383500926321</c:v>
                </c:pt>
                <c:pt idx="5">
                  <c:v>20.0355265867763</c:v>
                </c:pt>
                <c:pt idx="6">
                  <c:v>19.0276889633913</c:v>
                </c:pt>
                <c:pt idx="7">
                  <c:v>18.0148121518893</c:v>
                </c:pt>
                <c:pt idx="8">
                  <c:v>16.9968709563298</c:v>
                </c:pt>
                <c:pt idx="9">
                  <c:v>15.9738400547925</c:v>
                </c:pt>
                <c:pt idx="10">
                  <c:v>14.9456939987475</c:v>
                </c:pt>
                <c:pt idx="11">
                  <c:v>13.9124072124223</c:v>
                </c:pt>
                <c:pt idx="12">
                  <c:v>12.8739539921655</c:v>
                </c:pt>
                <c:pt idx="13">
                  <c:v>11.8303085058073</c:v>
                </c:pt>
                <c:pt idx="14">
                  <c:v>10.7814447920174</c:v>
                </c:pt>
                <c:pt idx="15">
                  <c:v>9.72733675965858</c:v>
                </c:pt>
                <c:pt idx="16">
                  <c:v>8.66795818713793</c:v>
                </c:pt>
                <c:pt idx="17">
                  <c:v>7.60328272175467</c:v>
                </c:pt>
                <c:pt idx="18">
                  <c:v>6.5332838790445</c:v>
                </c:pt>
                <c:pt idx="19">
                  <c:v>5.45793504212078</c:v>
                </c:pt>
                <c:pt idx="20">
                  <c:v>4.37720946101244</c:v>
                </c:pt>
                <c:pt idx="21">
                  <c:v>3.29108025199856</c:v>
                </c:pt>
                <c:pt idx="22">
                  <c:v>2.1995203969396</c:v>
                </c:pt>
                <c:pt idx="23">
                  <c:v>1.10250274260536</c:v>
                </c:pt>
              </c:numCache>
            </c:numRef>
          </c:val>
        </c:ser>
        <c:ser>
          <c:idx val="1"/>
          <c:order val="1"/>
          <c:tx>
            <c:strRef>
              <c:f>"Principal"</c:f>
              <c:strCache>
                <c:ptCount val="1"/>
                <c:pt idx="0">
                  <c:v>Principal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'Loan analysis'!$AU$4:$AU$27</c:f>
              <c:numCache>
                <c:formatCode>#,##0.00</c:formatCode>
                <c:ptCount val="24"/>
                <c:pt idx="0">
                  <c:v>196.603051263789</c:v>
                </c:pt>
                <c:pt idx="1">
                  <c:v>197.586066520108</c:v>
                </c:pt>
                <c:pt idx="2">
                  <c:v>198.573996852708</c:v>
                </c:pt>
                <c:pt idx="3">
                  <c:v>199.566866836972</c:v>
                </c:pt>
                <c:pt idx="4">
                  <c:v>200.564701171157</c:v>
                </c:pt>
                <c:pt idx="5">
                  <c:v>201.567524677013</c:v>
                </c:pt>
                <c:pt idx="6">
                  <c:v>202.575362300398</c:v>
                </c:pt>
                <c:pt idx="7">
                  <c:v>203.5882391119</c:v>
                </c:pt>
                <c:pt idx="8">
                  <c:v>204.606180307459</c:v>
                </c:pt>
                <c:pt idx="9">
                  <c:v>205.629211208996</c:v>
                </c:pt>
                <c:pt idx="10">
                  <c:v>206.657357265041</c:v>
                </c:pt>
                <c:pt idx="11">
                  <c:v>207.690644051367</c:v>
                </c:pt>
                <c:pt idx="12">
                  <c:v>208.729097271623</c:v>
                </c:pt>
                <c:pt idx="13">
                  <c:v>209.772742757982</c:v>
                </c:pt>
                <c:pt idx="14">
                  <c:v>210.821606471772</c:v>
                </c:pt>
                <c:pt idx="15">
                  <c:v>211.87571450413</c:v>
                </c:pt>
                <c:pt idx="16">
                  <c:v>212.935093076651</c:v>
                </c:pt>
                <c:pt idx="17">
                  <c:v>213.999768542034</c:v>
                </c:pt>
                <c:pt idx="18">
                  <c:v>215.069767384744</c:v>
                </c:pt>
                <c:pt idx="19">
                  <c:v>216.145116221668</c:v>
                </c:pt>
                <c:pt idx="20">
                  <c:v>217.225841802777</c:v>
                </c:pt>
                <c:pt idx="21">
                  <c:v>218.31197101179</c:v>
                </c:pt>
                <c:pt idx="22">
                  <c:v>219.403530866849</c:v>
                </c:pt>
                <c:pt idx="23">
                  <c:v>220.500548521184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0466944"/>
        <c:axId val="610464976"/>
      </c:barChart>
      <c:catAx>
        <c:axId val="61046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464976"/>
        <c:crosses val="autoZero"/>
        <c:auto val="1"/>
        <c:lblAlgn val="ctr"/>
        <c:lblOffset val="100"/>
        <c:noMultiLvlLbl val="0"/>
      </c:catAx>
      <c:valAx>
        <c:axId val="6104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4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802640</xdr:colOff>
      <xdr:row>19</xdr:row>
      <xdr:rowOff>53340</xdr:rowOff>
    </xdr:from>
    <xdr:to>
      <xdr:col>10</xdr:col>
      <xdr:colOff>140659</xdr:colOff>
      <xdr:row>31</xdr:row>
      <xdr:rowOff>120012</xdr:rowOff>
    </xdr:to>
    <xdr:graphicFrame>
      <xdr:nvGraphicFramePr>
        <xdr:cNvPr id="2" name="Chart 1"/>
        <xdr:cNvGraphicFramePr/>
      </xdr:nvGraphicFramePr>
      <xdr:xfrm>
        <a:off x="5695950" y="3491865"/>
        <a:ext cx="3833495" cy="2237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48</xdr:col>
      <xdr:colOff>19050</xdr:colOff>
      <xdr:row>1</xdr:row>
      <xdr:rowOff>33337</xdr:rowOff>
    </xdr:from>
    <xdr:to>
      <xdr:col>56</xdr:col>
      <xdr:colOff>76200</xdr:colOff>
      <xdr:row>15</xdr:row>
      <xdr:rowOff>61912</xdr:rowOff>
    </xdr:to>
    <xdr:graphicFrame>
      <xdr:nvGraphicFramePr>
        <xdr:cNvPr id="4" name="Chart 3"/>
        <xdr:cNvGraphicFramePr/>
      </xdr:nvGraphicFramePr>
      <xdr:xfrm>
        <a:off x="23802340" y="213995"/>
        <a:ext cx="554355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57150</xdr:colOff>
      <xdr:row>14</xdr:row>
      <xdr:rowOff>109537</xdr:rowOff>
    </xdr:from>
    <xdr:to>
      <xdr:col>55</xdr:col>
      <xdr:colOff>361950</xdr:colOff>
      <xdr:row>28</xdr:row>
      <xdr:rowOff>185737</xdr:rowOff>
    </xdr:to>
    <xdr:graphicFrame>
      <xdr:nvGraphicFramePr>
        <xdr:cNvPr id="2" name="Chart 1"/>
        <xdr:cNvGraphicFramePr/>
      </xdr:nvGraphicFramePr>
      <xdr:xfrm>
        <a:off x="23840440" y="2738120"/>
        <a:ext cx="5105400" cy="260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showGridLines="0" zoomScale="115" zoomScaleNormal="115" workbookViewId="0">
      <selection activeCell="D31" sqref="D31"/>
    </sheetView>
  </sheetViews>
  <sheetFormatPr defaultColWidth="9" defaultRowHeight="14.25" outlineLevelCol="7"/>
  <cols>
    <col min="1" max="1" width="19.3333333333333" customWidth="1"/>
    <col min="2" max="2" width="24" customWidth="1"/>
    <col min="3" max="3" width="10" customWidth="1"/>
    <col min="4" max="4" width="10.8833333333333" customWidth="1"/>
    <col min="5" max="5" width="11.6666666666667" customWidth="1"/>
    <col min="7" max="7" width="11.3333333333333" customWidth="1"/>
  </cols>
  <sheetData>
    <row r="1" spans="1:5">
      <c r="A1" s="15" t="s">
        <v>0</v>
      </c>
      <c r="B1" s="15" t="s">
        <v>1</v>
      </c>
      <c r="C1" s="3" t="s">
        <v>2</v>
      </c>
      <c r="D1" s="3" t="s">
        <v>3</v>
      </c>
      <c r="E1" s="3" t="s">
        <v>4</v>
      </c>
    </row>
    <row r="2" spans="1:5">
      <c r="A2" t="s">
        <v>5</v>
      </c>
      <c r="B2" t="s">
        <v>6</v>
      </c>
      <c r="C2" s="16">
        <v>100000</v>
      </c>
      <c r="D2" s="16">
        <f>E15*1000</f>
        <v>18000</v>
      </c>
      <c r="E2" s="16">
        <v>50000</v>
      </c>
    </row>
    <row r="3" spans="1:5">
      <c r="A3" t="s">
        <v>7</v>
      </c>
      <c r="B3" t="s">
        <v>8</v>
      </c>
      <c r="C3" s="16">
        <v>0</v>
      </c>
      <c r="D3" s="16">
        <v>100000</v>
      </c>
      <c r="E3" s="16">
        <v>0</v>
      </c>
    </row>
    <row r="4" spans="1:5">
      <c r="A4" t="s">
        <v>9</v>
      </c>
      <c r="B4" t="s">
        <v>10</v>
      </c>
      <c r="C4" s="16">
        <v>15</v>
      </c>
      <c r="D4" s="10">
        <f>NPER(D5,D2,D6,D3)</f>
        <v>156.942922182631</v>
      </c>
      <c r="E4" s="16">
        <v>20</v>
      </c>
    </row>
    <row r="5" spans="1:5">
      <c r="A5" t="s">
        <v>11</v>
      </c>
      <c r="B5" t="s">
        <v>12</v>
      </c>
      <c r="C5" s="6">
        <v>0.04</v>
      </c>
      <c r="D5" s="6">
        <v>0.005</v>
      </c>
      <c r="E5" s="17">
        <f>RATE(E4,E2,E6)</f>
        <v>0.0366701383377931</v>
      </c>
    </row>
    <row r="6" spans="1:5">
      <c r="A6" t="s">
        <v>13</v>
      </c>
      <c r="B6" t="s">
        <v>14</v>
      </c>
      <c r="C6" s="18">
        <f>PV(C5,C4,C2)</f>
        <v>-1111838.74321681</v>
      </c>
      <c r="D6" s="16">
        <v>-2000000</v>
      </c>
      <c r="E6" s="16">
        <v>-700000</v>
      </c>
    </row>
    <row r="7" spans="3:5">
      <c r="C7" s="19"/>
      <c r="D7" s="16"/>
      <c r="E7" s="16"/>
    </row>
    <row r="8" spans="3:5">
      <c r="C8" s="19"/>
      <c r="D8" s="16"/>
      <c r="E8" s="16"/>
    </row>
    <row r="9" spans="3:5">
      <c r="C9" s="19"/>
      <c r="D9" s="16"/>
      <c r="E9" s="16"/>
    </row>
    <row r="10" spans="3:5">
      <c r="C10" s="19"/>
      <c r="D10" s="16"/>
      <c r="E10" s="16"/>
    </row>
    <row r="11" spans="3:5">
      <c r="C11" s="19"/>
      <c r="D11" s="16"/>
      <c r="E11" s="16"/>
    </row>
    <row r="12" spans="3:5">
      <c r="C12" s="19"/>
      <c r="D12" s="16"/>
      <c r="E12" s="16"/>
    </row>
    <row r="15" spans="3:5">
      <c r="C15" t="s">
        <v>15</v>
      </c>
      <c r="E15" s="20">
        <v>18</v>
      </c>
    </row>
    <row r="16" spans="3:3">
      <c r="C16" s="28" t="s">
        <v>16</v>
      </c>
    </row>
    <row r="17" spans="3:3">
      <c r="C17" s="28" t="s">
        <v>17</v>
      </c>
    </row>
    <row r="19" spans="3:3">
      <c r="C19" s="15" t="s">
        <v>18</v>
      </c>
    </row>
    <row r="20" spans="3:4">
      <c r="C20" s="21" t="s">
        <v>19</v>
      </c>
      <c r="D20" s="22">
        <f>D4</f>
        <v>156.942922182631</v>
      </c>
    </row>
    <row r="21" spans="3:4">
      <c r="C21" s="23">
        <v>12</v>
      </c>
      <c r="D21" s="24">
        <v>350.713843872325</v>
      </c>
    </row>
    <row r="22" spans="2:4">
      <c r="B22" s="25" t="s">
        <v>20</v>
      </c>
      <c r="C22" s="23">
        <f>C21+2</f>
        <v>14</v>
      </c>
      <c r="D22" s="24">
        <v>243.886756958761</v>
      </c>
    </row>
    <row r="23" spans="3:4">
      <c r="C23" s="23">
        <f t="shared" ref="C23:C31" si="0">C22+2</f>
        <v>16</v>
      </c>
      <c r="D23" s="24">
        <v>190.290256752057</v>
      </c>
    </row>
    <row r="24" spans="3:4">
      <c r="C24" s="23">
        <f t="shared" si="0"/>
        <v>18</v>
      </c>
      <c r="D24" s="24">
        <v>156.942922182631</v>
      </c>
    </row>
    <row r="25" spans="3:4">
      <c r="C25" s="23">
        <f t="shared" si="0"/>
        <v>20</v>
      </c>
      <c r="D25" s="24">
        <v>133.899511632644</v>
      </c>
    </row>
    <row r="26" spans="3:4">
      <c r="C26" s="23">
        <f t="shared" si="0"/>
        <v>22</v>
      </c>
      <c r="D26" s="24">
        <v>116.920587839707</v>
      </c>
    </row>
    <row r="27" spans="3:4">
      <c r="C27" s="23">
        <f t="shared" si="0"/>
        <v>24</v>
      </c>
      <c r="D27" s="24">
        <v>103.847374580941</v>
      </c>
    </row>
    <row r="28" spans="3:4">
      <c r="C28" s="23">
        <f t="shared" si="0"/>
        <v>26</v>
      </c>
      <c r="D28" s="24">
        <v>93.4507971298081</v>
      </c>
    </row>
    <row r="29" spans="3:4">
      <c r="C29" s="23">
        <f t="shared" si="0"/>
        <v>28</v>
      </c>
      <c r="D29" s="24">
        <v>84.9745803294728</v>
      </c>
    </row>
    <row r="30" spans="3:4">
      <c r="C30" s="23">
        <f t="shared" si="0"/>
        <v>30</v>
      </c>
      <c r="D30" s="24">
        <v>77.9257654159997</v>
      </c>
    </row>
    <row r="31" spans="3:4">
      <c r="C31" s="26">
        <f t="shared" si="0"/>
        <v>32</v>
      </c>
      <c r="D31" s="27">
        <v>71.9683418531586</v>
      </c>
    </row>
    <row r="33" spans="8:8">
      <c r="H33" s="25" t="s">
        <v>21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U29"/>
  <sheetViews>
    <sheetView showGridLines="0" tabSelected="1" topLeftCell="L1" workbookViewId="0">
      <selection activeCell="M28" sqref="M28:S28"/>
    </sheetView>
  </sheetViews>
  <sheetFormatPr defaultColWidth="9" defaultRowHeight="14.25"/>
  <cols>
    <col min="2" max="2" width="9.88333333333333" customWidth="1"/>
    <col min="4" max="4" width="9.88333333333333" customWidth="1"/>
    <col min="7" max="7" width="10.6666666666667" customWidth="1"/>
    <col min="8" max="8" width="10.3333333333333" customWidth="1"/>
    <col min="10" max="10" width="10.6666666666667" customWidth="1"/>
    <col min="11" max="14" width="10.8833333333333" customWidth="1"/>
    <col min="15" max="15" width="2.88333333333333" customWidth="1"/>
    <col min="16" max="39" width="2.10833333333333" customWidth="1"/>
    <col min="40" max="40" width="11.4416666666667" customWidth="1"/>
    <col min="42" max="42" width="27.5583333333333" customWidth="1"/>
    <col min="43" max="43" width="18.6666666666667" customWidth="1"/>
    <col min="44" max="44" width="16" customWidth="1"/>
  </cols>
  <sheetData>
    <row r="2" ht="18" spans="2:45">
      <c r="B2" s="1" t="s">
        <v>22</v>
      </c>
      <c r="F2" s="1" t="s">
        <v>23</v>
      </c>
      <c r="M2" s="1" t="s">
        <v>24</v>
      </c>
      <c r="AP2" s="1" t="s">
        <v>25</v>
      </c>
      <c r="AS2" s="1" t="s">
        <v>26</v>
      </c>
    </row>
    <row r="4" spans="2:47">
      <c r="B4" t="s">
        <v>27</v>
      </c>
      <c r="D4" s="2">
        <v>5000</v>
      </c>
      <c r="F4" s="3" t="s">
        <v>28</v>
      </c>
      <c r="G4" s="3" t="s">
        <v>29</v>
      </c>
      <c r="H4" s="3" t="s">
        <v>5</v>
      </c>
      <c r="I4" s="3" t="s">
        <v>30</v>
      </c>
      <c r="J4" s="3" t="s">
        <v>31</v>
      </c>
      <c r="K4" s="3" t="s">
        <v>32</v>
      </c>
      <c r="L4" s="3"/>
      <c r="M4" s="3" t="s">
        <v>28</v>
      </c>
      <c r="N4" s="3" t="s">
        <v>33</v>
      </c>
      <c r="O4" s="3"/>
      <c r="P4" s="7" t="s">
        <v>34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 t="s">
        <v>35</v>
      </c>
      <c r="AS4">
        <f t="shared" ref="AS4:AS27" si="0">F5</f>
        <v>1</v>
      </c>
      <c r="AT4" s="5">
        <f t="shared" ref="AT4:AT27" si="1">I5</f>
        <v>25</v>
      </c>
      <c r="AU4" s="5">
        <f t="shared" ref="AU4:AU27" si="2">J5</f>
        <v>196.603051263789</v>
      </c>
    </row>
    <row r="5" spans="2:47">
      <c r="B5" t="s">
        <v>36</v>
      </c>
      <c r="D5">
        <v>24</v>
      </c>
      <c r="F5">
        <v>1</v>
      </c>
      <c r="G5" s="4">
        <f>D4</f>
        <v>5000</v>
      </c>
      <c r="H5" s="5">
        <f>$D$8</f>
        <v>221.603051263789</v>
      </c>
      <c r="I5" s="5">
        <f>G5*$D$7</f>
        <v>25</v>
      </c>
      <c r="J5" s="5">
        <f>H5-I5</f>
        <v>196.603051263789</v>
      </c>
      <c r="K5" s="5">
        <f>G5-J5</f>
        <v>4803.39694873621</v>
      </c>
      <c r="L5" s="5"/>
      <c r="M5">
        <v>1</v>
      </c>
      <c r="N5" s="8">
        <f>D13</f>
        <v>0.002</v>
      </c>
      <c r="O5" s="8"/>
      <c r="P5" s="9"/>
      <c r="Q5" s="9"/>
      <c r="R5" s="9"/>
      <c r="S5" s="9"/>
      <c r="T5" s="9"/>
      <c r="U5" s="9"/>
      <c r="V5" s="9"/>
      <c r="AN5" s="2">
        <v>0</v>
      </c>
      <c r="AS5">
        <f t="shared" si="0"/>
        <v>2</v>
      </c>
      <c r="AT5" s="5">
        <f t="shared" si="1"/>
        <v>24.0169847436811</v>
      </c>
      <c r="AU5" s="5">
        <f t="shared" si="2"/>
        <v>197.586066520108</v>
      </c>
    </row>
    <row r="6" spans="2:47">
      <c r="B6" t="s">
        <v>37</v>
      </c>
      <c r="D6" s="6">
        <v>0.06</v>
      </c>
      <c r="F6">
        <v>2</v>
      </c>
      <c r="G6" s="5">
        <f>K5</f>
        <v>4803.39694873621</v>
      </c>
      <c r="H6" s="5">
        <f t="shared" ref="H6:H28" si="3">$D$8</f>
        <v>221.603051263789</v>
      </c>
      <c r="I6" s="5">
        <f t="shared" ref="I6:I28" si="4">G6*$D$7</f>
        <v>24.0169847436811</v>
      </c>
      <c r="J6" s="5">
        <f t="shared" ref="J6:J28" si="5">H6-I6</f>
        <v>197.586066520108</v>
      </c>
      <c r="K6" s="5">
        <f t="shared" ref="K6:K28" si="6">G6-J6</f>
        <v>4605.8108822161</v>
      </c>
      <c r="L6" s="5"/>
      <c r="M6">
        <v>2</v>
      </c>
      <c r="N6" s="8">
        <f t="shared" ref="N6:N28" si="7">N5*(1-$D$13)</f>
        <v>0.001996</v>
      </c>
      <c r="O6" s="8"/>
      <c r="P6" s="9">
        <v>1</v>
      </c>
      <c r="Q6" s="9"/>
      <c r="R6" s="9"/>
      <c r="S6" s="9"/>
      <c r="T6" s="9"/>
      <c r="U6" s="9"/>
      <c r="V6" s="9"/>
      <c r="AN6" s="2">
        <f t="shared" ref="AN6:AN29" si="8">-PV($D$14/12,M6-1,$D$8)</f>
        <v>221.381669594182</v>
      </c>
      <c r="AS6">
        <f t="shared" si="0"/>
        <v>3</v>
      </c>
      <c r="AT6" s="5">
        <f t="shared" si="1"/>
        <v>23.0290544110805</v>
      </c>
      <c r="AU6" s="5">
        <f t="shared" si="2"/>
        <v>198.573996852708</v>
      </c>
    </row>
    <row r="7" spans="2:47">
      <c r="B7" t="s">
        <v>38</v>
      </c>
      <c r="D7" s="6">
        <f>D6/12</f>
        <v>0.005</v>
      </c>
      <c r="F7">
        <v>3</v>
      </c>
      <c r="G7" s="5">
        <f t="shared" ref="G7:G28" si="9">K6</f>
        <v>4605.8108822161</v>
      </c>
      <c r="H7" s="5">
        <f t="shared" si="3"/>
        <v>221.603051263789</v>
      </c>
      <c r="I7" s="5">
        <f t="shared" si="4"/>
        <v>23.0290544110805</v>
      </c>
      <c r="J7" s="5">
        <f t="shared" si="5"/>
        <v>198.573996852708</v>
      </c>
      <c r="K7" s="5">
        <f t="shared" si="6"/>
        <v>4407.23688536339</v>
      </c>
      <c r="L7" s="5"/>
      <c r="M7">
        <v>3</v>
      </c>
      <c r="N7" s="8">
        <f t="shared" si="7"/>
        <v>0.001992008</v>
      </c>
      <c r="O7" s="8"/>
      <c r="P7" s="9">
        <v>1</v>
      </c>
      <c r="Q7" s="9">
        <v>1</v>
      </c>
      <c r="R7" s="9"/>
      <c r="S7" s="9"/>
      <c r="T7" s="9"/>
      <c r="U7" s="9"/>
      <c r="V7" s="9"/>
      <c r="AN7" s="2">
        <f t="shared" si="8"/>
        <v>442.542178679236</v>
      </c>
      <c r="AQ7" s="3" t="s">
        <v>39</v>
      </c>
      <c r="AR7" s="3" t="s">
        <v>40</v>
      </c>
      <c r="AS7">
        <f t="shared" si="0"/>
        <v>4</v>
      </c>
      <c r="AT7" s="5">
        <f t="shared" si="1"/>
        <v>22.036184426817</v>
      </c>
      <c r="AU7" s="5">
        <f t="shared" si="2"/>
        <v>199.566866836972</v>
      </c>
    </row>
    <row r="8" spans="2:47">
      <c r="B8" t="s">
        <v>5</v>
      </c>
      <c r="D8" s="2">
        <f>PMT(D7,D5,-D4)</f>
        <v>221.603051263789</v>
      </c>
      <c r="F8">
        <v>4</v>
      </c>
      <c r="G8" s="5">
        <f t="shared" si="9"/>
        <v>4407.23688536339</v>
      </c>
      <c r="H8" s="5">
        <f t="shared" si="3"/>
        <v>221.603051263789</v>
      </c>
      <c r="I8" s="5">
        <f t="shared" si="4"/>
        <v>22.036184426817</v>
      </c>
      <c r="J8" s="5">
        <f t="shared" si="5"/>
        <v>199.566866836972</v>
      </c>
      <c r="K8" s="5">
        <f t="shared" si="6"/>
        <v>4207.67001852642</v>
      </c>
      <c r="L8" s="5"/>
      <c r="M8">
        <v>4</v>
      </c>
      <c r="N8" s="8">
        <f t="shared" si="7"/>
        <v>0.001988023984</v>
      </c>
      <c r="O8" s="8"/>
      <c r="P8" s="9">
        <v>1</v>
      </c>
      <c r="Q8" s="9">
        <v>1</v>
      </c>
      <c r="R8" s="9">
        <v>1</v>
      </c>
      <c r="S8" s="9"/>
      <c r="T8" s="9"/>
      <c r="U8" s="9"/>
      <c r="V8" s="9"/>
      <c r="AN8" s="2">
        <f t="shared" si="8"/>
        <v>663.481748194847</v>
      </c>
      <c r="AP8" t="s">
        <v>41</v>
      </c>
      <c r="AQ8" s="6">
        <f>AR8/12</f>
        <v>0.001</v>
      </c>
      <c r="AR8" s="6">
        <f>D14</f>
        <v>0.012</v>
      </c>
      <c r="AS8">
        <f t="shared" si="0"/>
        <v>5</v>
      </c>
      <c r="AT8" s="5">
        <f t="shared" si="1"/>
        <v>21.0383500926321</v>
      </c>
      <c r="AU8" s="5">
        <f t="shared" si="2"/>
        <v>200.564701171157</v>
      </c>
    </row>
    <row r="9" spans="2:47">
      <c r="B9" t="s">
        <v>42</v>
      </c>
      <c r="D9" s="2">
        <f>D8*D5</f>
        <v>5318.47323033093</v>
      </c>
      <c r="F9">
        <v>5</v>
      </c>
      <c r="G9" s="5">
        <f t="shared" si="9"/>
        <v>4207.67001852642</v>
      </c>
      <c r="H9" s="5">
        <f t="shared" si="3"/>
        <v>221.603051263789</v>
      </c>
      <c r="I9" s="5">
        <f t="shared" si="4"/>
        <v>21.0383500926321</v>
      </c>
      <c r="J9" s="5">
        <f t="shared" si="5"/>
        <v>200.564701171157</v>
      </c>
      <c r="K9" s="5">
        <f t="shared" si="6"/>
        <v>4007.10531735527</v>
      </c>
      <c r="L9" s="5"/>
      <c r="M9">
        <v>5</v>
      </c>
      <c r="N9" s="8">
        <f t="shared" si="7"/>
        <v>0.001984047936032</v>
      </c>
      <c r="O9" s="8"/>
      <c r="P9" s="9">
        <v>1</v>
      </c>
      <c r="Q9" s="9">
        <v>1</v>
      </c>
      <c r="R9" s="9">
        <v>1</v>
      </c>
      <c r="S9" s="9">
        <v>1</v>
      </c>
      <c r="T9" s="9"/>
      <c r="U9" s="9"/>
      <c r="V9" s="9"/>
      <c r="AN9" s="2">
        <f t="shared" si="8"/>
        <v>884.200598859703</v>
      </c>
      <c r="AP9" t="s">
        <v>43</v>
      </c>
      <c r="AQ9" s="6">
        <f>D13</f>
        <v>0.002</v>
      </c>
      <c r="AR9" s="6">
        <f>AQ9*12</f>
        <v>0.024</v>
      </c>
      <c r="AS9">
        <f t="shared" si="0"/>
        <v>6</v>
      </c>
      <c r="AT9" s="5">
        <f t="shared" si="1"/>
        <v>20.0355265867763</v>
      </c>
      <c r="AU9" s="5">
        <f t="shared" si="2"/>
        <v>201.567524677013</v>
      </c>
    </row>
    <row r="10" spans="6:47">
      <c r="F10">
        <v>6</v>
      </c>
      <c r="G10" s="5">
        <f t="shared" si="9"/>
        <v>4007.10531735527</v>
      </c>
      <c r="H10" s="5">
        <f t="shared" si="3"/>
        <v>221.603051263789</v>
      </c>
      <c r="I10" s="5">
        <f t="shared" si="4"/>
        <v>20.0355265867763</v>
      </c>
      <c r="J10" s="5">
        <f t="shared" si="5"/>
        <v>201.567524677013</v>
      </c>
      <c r="K10" s="5">
        <f t="shared" si="6"/>
        <v>3805.53779267825</v>
      </c>
      <c r="L10" s="5"/>
      <c r="M10">
        <v>6</v>
      </c>
      <c r="N10" s="8">
        <f t="shared" si="7"/>
        <v>0.00198007984015994</v>
      </c>
      <c r="O10" s="8"/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/>
      <c r="V10" s="9"/>
      <c r="AN10" s="2">
        <f t="shared" si="8"/>
        <v>1104.6989511723</v>
      </c>
      <c r="AQ10" s="6"/>
      <c r="AS10">
        <f t="shared" si="0"/>
        <v>7</v>
      </c>
      <c r="AT10" s="5">
        <f t="shared" si="1"/>
        <v>19.0276889633913</v>
      </c>
      <c r="AU10" s="5">
        <f t="shared" si="2"/>
        <v>202.575362300398</v>
      </c>
    </row>
    <row r="11" ht="18" spans="2:47">
      <c r="B11" s="1" t="s">
        <v>44</v>
      </c>
      <c r="F11">
        <v>7</v>
      </c>
      <c r="G11" s="5">
        <f t="shared" si="9"/>
        <v>3805.53779267825</v>
      </c>
      <c r="H11" s="5">
        <f t="shared" si="3"/>
        <v>221.603051263789</v>
      </c>
      <c r="I11" s="5">
        <f t="shared" si="4"/>
        <v>19.0276889633913</v>
      </c>
      <c r="J11" s="5">
        <f t="shared" si="5"/>
        <v>202.575362300398</v>
      </c>
      <c r="K11" s="5">
        <f t="shared" si="6"/>
        <v>3602.96243037786</v>
      </c>
      <c r="L11" s="5"/>
      <c r="M11">
        <v>7</v>
      </c>
      <c r="N11" s="8">
        <f t="shared" si="7"/>
        <v>0.00197611968047962</v>
      </c>
      <c r="O11" s="8"/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/>
      <c r="AN11" s="2">
        <f t="shared" si="8"/>
        <v>1324.97702541068</v>
      </c>
      <c r="AP11" t="s">
        <v>45</v>
      </c>
      <c r="AQ11" s="4">
        <f>SUMPRODUCT(N5:N29,AN5:AN29)</f>
        <v>5123.73322878134</v>
      </c>
      <c r="AS11">
        <f t="shared" si="0"/>
        <v>8</v>
      </c>
      <c r="AT11" s="5">
        <f t="shared" si="1"/>
        <v>18.0148121518893</v>
      </c>
      <c r="AU11" s="5">
        <f t="shared" si="2"/>
        <v>203.5882391119</v>
      </c>
    </row>
    <row r="12" spans="6:47">
      <c r="F12">
        <v>8</v>
      </c>
      <c r="G12" s="5">
        <f t="shared" si="9"/>
        <v>3602.96243037786</v>
      </c>
      <c r="H12" s="5">
        <f t="shared" si="3"/>
        <v>221.603051263789</v>
      </c>
      <c r="I12" s="5">
        <f t="shared" si="4"/>
        <v>18.0148121518893</v>
      </c>
      <c r="J12" s="5">
        <f t="shared" si="5"/>
        <v>203.5882391119</v>
      </c>
      <c r="K12" s="5">
        <f t="shared" si="6"/>
        <v>3399.37419126596</v>
      </c>
      <c r="L12" s="5"/>
      <c r="M12">
        <v>8</v>
      </c>
      <c r="N12" s="8">
        <f t="shared" si="7"/>
        <v>0.00197216744111866</v>
      </c>
      <c r="O12" s="8"/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AN12" s="2">
        <f t="shared" si="8"/>
        <v>1545.0350416328</v>
      </c>
      <c r="AP12" t="s">
        <v>46</v>
      </c>
      <c r="AQ12" s="11">
        <f>RATE(24,D8,-AQ11)</f>
        <v>0.00300601202405509</v>
      </c>
      <c r="AR12" s="6">
        <f>AQ12*12</f>
        <v>0.0360721442886611</v>
      </c>
      <c r="AS12">
        <f t="shared" si="0"/>
        <v>9</v>
      </c>
      <c r="AT12" s="5">
        <f t="shared" si="1"/>
        <v>16.9968709563298</v>
      </c>
      <c r="AU12" s="5">
        <f t="shared" si="2"/>
        <v>204.606180307459</v>
      </c>
    </row>
    <row r="13" spans="2:47">
      <c r="B13" t="s">
        <v>47</v>
      </c>
      <c r="D13" s="6">
        <v>0.002</v>
      </c>
      <c r="F13">
        <v>9</v>
      </c>
      <c r="G13" s="5">
        <f t="shared" si="9"/>
        <v>3399.37419126596</v>
      </c>
      <c r="H13" s="5">
        <f t="shared" si="3"/>
        <v>221.603051263789</v>
      </c>
      <c r="I13" s="5">
        <f t="shared" si="4"/>
        <v>16.9968709563298</v>
      </c>
      <c r="J13" s="5">
        <f t="shared" si="5"/>
        <v>204.606180307459</v>
      </c>
      <c r="K13" s="5">
        <f t="shared" si="6"/>
        <v>3194.7680109585</v>
      </c>
      <c r="L13" s="5"/>
      <c r="M13">
        <v>9</v>
      </c>
      <c r="N13" s="8">
        <f t="shared" si="7"/>
        <v>0.00196822310623642</v>
      </c>
      <c r="O13" s="8"/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AN13" s="2">
        <f t="shared" si="8"/>
        <v>1764.87321967692</v>
      </c>
      <c r="AP13" t="s">
        <v>48</v>
      </c>
      <c r="AQ13" s="11">
        <f>AQ12-AQ8</f>
        <v>0.00200601202405509</v>
      </c>
      <c r="AR13" s="6">
        <f>AQ13*12</f>
        <v>0.0240721442886611</v>
      </c>
      <c r="AS13">
        <f t="shared" si="0"/>
        <v>10</v>
      </c>
      <c r="AT13" s="5">
        <f t="shared" si="1"/>
        <v>15.9738400547925</v>
      </c>
      <c r="AU13" s="5">
        <f t="shared" si="2"/>
        <v>205.629211208996</v>
      </c>
    </row>
    <row r="14" spans="2:47">
      <c r="B14" t="s">
        <v>49</v>
      </c>
      <c r="D14" s="6">
        <v>0.012</v>
      </c>
      <c r="F14">
        <v>10</v>
      </c>
      <c r="G14" s="5">
        <f t="shared" si="9"/>
        <v>3194.7680109585</v>
      </c>
      <c r="H14" s="5">
        <f t="shared" si="3"/>
        <v>221.603051263789</v>
      </c>
      <c r="I14" s="5">
        <f t="shared" si="4"/>
        <v>15.9738400547925</v>
      </c>
      <c r="J14" s="5">
        <f t="shared" si="5"/>
        <v>205.629211208996</v>
      </c>
      <c r="K14" s="5">
        <f t="shared" si="6"/>
        <v>2989.1387997495</v>
      </c>
      <c r="L14" s="5"/>
      <c r="M14">
        <v>10</v>
      </c>
      <c r="N14" s="8">
        <f t="shared" si="7"/>
        <v>0.00196428666002395</v>
      </c>
      <c r="O14" s="8"/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>
        <v>1</v>
      </c>
      <c r="AN14" s="2">
        <f t="shared" si="8"/>
        <v>1984.49177916148</v>
      </c>
      <c r="AQ14" s="6"/>
      <c r="AS14">
        <f t="shared" si="0"/>
        <v>11</v>
      </c>
      <c r="AT14" s="5">
        <f t="shared" si="1"/>
        <v>14.9456939987475</v>
      </c>
      <c r="AU14" s="5">
        <f t="shared" si="2"/>
        <v>206.657357265041</v>
      </c>
    </row>
    <row r="15" spans="6:47">
      <c r="F15">
        <v>11</v>
      </c>
      <c r="G15" s="5">
        <f t="shared" si="9"/>
        <v>2989.1387997495</v>
      </c>
      <c r="H15" s="5">
        <f t="shared" si="3"/>
        <v>221.603051263789</v>
      </c>
      <c r="I15" s="5">
        <f t="shared" si="4"/>
        <v>14.9456939987475</v>
      </c>
      <c r="J15" s="5">
        <f t="shared" si="5"/>
        <v>206.657357265041</v>
      </c>
      <c r="K15" s="5">
        <f t="shared" si="6"/>
        <v>2782.48144248446</v>
      </c>
      <c r="L15" s="5"/>
      <c r="M15">
        <v>11</v>
      </c>
      <c r="N15" s="8">
        <f t="shared" si="7"/>
        <v>0.0019603580867039</v>
      </c>
      <c r="O15" s="8"/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>
        <v>1</v>
      </c>
      <c r="AN15" s="2">
        <f t="shared" si="8"/>
        <v>2203.8909394858</v>
      </c>
      <c r="AP15" t="s">
        <v>27</v>
      </c>
      <c r="AQ15" s="2">
        <f>D4</f>
        <v>5000</v>
      </c>
      <c r="AS15">
        <f t="shared" si="0"/>
        <v>12</v>
      </c>
      <c r="AT15" s="5">
        <f t="shared" si="1"/>
        <v>13.9124072124223</v>
      </c>
      <c r="AU15" s="5">
        <f t="shared" si="2"/>
        <v>207.690644051367</v>
      </c>
    </row>
    <row r="16" spans="6:47">
      <c r="F16">
        <v>12</v>
      </c>
      <c r="G16" s="5">
        <f t="shared" si="9"/>
        <v>2782.48144248446</v>
      </c>
      <c r="H16" s="5">
        <f t="shared" si="3"/>
        <v>221.603051263789</v>
      </c>
      <c r="I16" s="5">
        <f t="shared" si="4"/>
        <v>13.9124072124223</v>
      </c>
      <c r="J16" s="5">
        <f t="shared" si="5"/>
        <v>207.690644051367</v>
      </c>
      <c r="K16" s="5">
        <f t="shared" si="6"/>
        <v>2574.79079843309</v>
      </c>
      <c r="L16" s="5"/>
      <c r="M16">
        <v>12</v>
      </c>
      <c r="N16" s="8">
        <f t="shared" si="7"/>
        <v>0.00195643737053049</v>
      </c>
      <c r="O16" s="8"/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>
        <v>1</v>
      </c>
      <c r="AN16" s="2">
        <f t="shared" si="8"/>
        <v>2423.07091982968</v>
      </c>
      <c r="AP16" t="s">
        <v>50</v>
      </c>
      <c r="AQ16" s="4">
        <f>AQ11-AQ15</f>
        <v>123.733228781338</v>
      </c>
      <c r="AS16">
        <f t="shared" si="0"/>
        <v>13</v>
      </c>
      <c r="AT16" s="5">
        <f t="shared" si="1"/>
        <v>12.8739539921655</v>
      </c>
      <c r="AU16" s="5">
        <f t="shared" si="2"/>
        <v>208.729097271623</v>
      </c>
    </row>
    <row r="17" spans="6:47">
      <c r="F17">
        <v>13</v>
      </c>
      <c r="G17" s="5">
        <f t="shared" si="9"/>
        <v>2574.79079843309</v>
      </c>
      <c r="H17" s="5">
        <f t="shared" si="3"/>
        <v>221.603051263789</v>
      </c>
      <c r="I17" s="5">
        <f t="shared" si="4"/>
        <v>12.8739539921655</v>
      </c>
      <c r="J17" s="5">
        <f t="shared" si="5"/>
        <v>208.729097271623</v>
      </c>
      <c r="K17" s="5">
        <f t="shared" si="6"/>
        <v>2366.06170116147</v>
      </c>
      <c r="L17" s="5"/>
      <c r="M17">
        <v>13</v>
      </c>
      <c r="N17" s="8">
        <f t="shared" si="7"/>
        <v>0.00195252449578943</v>
      </c>
      <c r="O17" s="8"/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>
        <v>1</v>
      </c>
      <c r="AN17" s="2">
        <f t="shared" si="8"/>
        <v>2642.03193915432</v>
      </c>
      <c r="AS17">
        <f t="shared" si="0"/>
        <v>14</v>
      </c>
      <c r="AT17" s="5">
        <f t="shared" si="1"/>
        <v>11.8303085058073</v>
      </c>
      <c r="AU17" s="5">
        <f t="shared" si="2"/>
        <v>209.772742757982</v>
      </c>
    </row>
    <row r="18" spans="6:47">
      <c r="F18">
        <v>14</v>
      </c>
      <c r="G18" s="5">
        <f t="shared" si="9"/>
        <v>2366.06170116147</v>
      </c>
      <c r="H18" s="5">
        <f t="shared" si="3"/>
        <v>221.603051263789</v>
      </c>
      <c r="I18" s="5">
        <f t="shared" si="4"/>
        <v>11.8303085058073</v>
      </c>
      <c r="J18" s="5">
        <f t="shared" si="5"/>
        <v>209.772742757982</v>
      </c>
      <c r="K18" s="5">
        <f t="shared" si="6"/>
        <v>2156.28895840349</v>
      </c>
      <c r="L18" s="5"/>
      <c r="M18">
        <v>14</v>
      </c>
      <c r="N18" s="8">
        <f t="shared" si="7"/>
        <v>0.00194861944679785</v>
      </c>
      <c r="O18" s="8"/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>
        <v>1</v>
      </c>
      <c r="AN18" s="2">
        <f t="shared" si="8"/>
        <v>2860.77421620189</v>
      </c>
      <c r="AP18" t="s">
        <v>51</v>
      </c>
      <c r="AQ18" s="11">
        <f>(D14/12+D13)/(1-D13)</f>
        <v>0.0030060120240481</v>
      </c>
      <c r="AS18">
        <f t="shared" si="0"/>
        <v>15</v>
      </c>
      <c r="AT18" s="5">
        <f t="shared" si="1"/>
        <v>10.7814447920174</v>
      </c>
      <c r="AU18" s="5">
        <f t="shared" si="2"/>
        <v>210.821606471772</v>
      </c>
    </row>
    <row r="19" spans="6:47">
      <c r="F19">
        <v>15</v>
      </c>
      <c r="G19" s="5">
        <f t="shared" si="9"/>
        <v>2156.28895840349</v>
      </c>
      <c r="H19" s="5">
        <f t="shared" si="3"/>
        <v>221.603051263789</v>
      </c>
      <c r="I19" s="5">
        <f t="shared" si="4"/>
        <v>10.7814447920174</v>
      </c>
      <c r="J19" s="5">
        <f t="shared" si="5"/>
        <v>210.821606471772</v>
      </c>
      <c r="K19" s="10">
        <f t="shared" si="6"/>
        <v>1945.46735193172</v>
      </c>
      <c r="L19" s="5"/>
      <c r="M19">
        <v>15</v>
      </c>
      <c r="N19" s="8">
        <f t="shared" si="7"/>
        <v>0.00194472220790426</v>
      </c>
      <c r="O19" s="8"/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>
        <v>1</v>
      </c>
      <c r="AN19" s="2">
        <f t="shared" si="8"/>
        <v>3079.29796949616</v>
      </c>
      <c r="AP19" t="s">
        <v>52</v>
      </c>
      <c r="AQ19" s="2">
        <f>D8</f>
        <v>221.603051263789</v>
      </c>
      <c r="AS19">
        <f t="shared" si="0"/>
        <v>16</v>
      </c>
      <c r="AT19" s="5">
        <f t="shared" si="1"/>
        <v>9.72733675965858</v>
      </c>
      <c r="AU19" s="5">
        <f t="shared" si="2"/>
        <v>211.87571450413</v>
      </c>
    </row>
    <row r="20" spans="6:47">
      <c r="F20">
        <v>16</v>
      </c>
      <c r="G20" s="5">
        <f t="shared" si="9"/>
        <v>1945.46735193172</v>
      </c>
      <c r="H20" s="5">
        <f t="shared" si="3"/>
        <v>221.603051263789</v>
      </c>
      <c r="I20" s="5">
        <f t="shared" si="4"/>
        <v>9.72733675965858</v>
      </c>
      <c r="J20" s="5">
        <f t="shared" si="5"/>
        <v>211.87571450413</v>
      </c>
      <c r="K20" s="5">
        <f t="shared" si="6"/>
        <v>1733.59163742759</v>
      </c>
      <c r="L20" s="5"/>
      <c r="M20">
        <v>16</v>
      </c>
      <c r="N20" s="8">
        <f t="shared" si="7"/>
        <v>0.00194083276348845</v>
      </c>
      <c r="O20" s="8"/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>
        <v>1</v>
      </c>
      <c r="AD20">
        <v>1</v>
      </c>
      <c r="AN20" s="2">
        <f t="shared" si="8"/>
        <v>3297.6034173426</v>
      </c>
      <c r="AP20" s="12"/>
      <c r="AS20">
        <f t="shared" si="0"/>
        <v>17</v>
      </c>
      <c r="AT20" s="5">
        <f t="shared" si="1"/>
        <v>8.66795818713793</v>
      </c>
      <c r="AU20" s="5">
        <f t="shared" si="2"/>
        <v>212.935093076651</v>
      </c>
    </row>
    <row r="21" spans="6:47">
      <c r="F21">
        <v>17</v>
      </c>
      <c r="G21" s="5">
        <f t="shared" si="9"/>
        <v>1733.59163742759</v>
      </c>
      <c r="H21" s="5">
        <f t="shared" si="3"/>
        <v>221.603051263789</v>
      </c>
      <c r="I21" s="5">
        <f t="shared" si="4"/>
        <v>8.66795818713793</v>
      </c>
      <c r="J21" s="5">
        <f t="shared" si="5"/>
        <v>212.935093076651</v>
      </c>
      <c r="K21" s="5">
        <f t="shared" si="6"/>
        <v>1520.65654435093</v>
      </c>
      <c r="L21" s="5"/>
      <c r="M21">
        <v>17</v>
      </c>
      <c r="N21" s="8">
        <f t="shared" si="7"/>
        <v>0.00193695109796147</v>
      </c>
      <c r="O21" s="8"/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>
        <v>1</v>
      </c>
      <c r="AD21" s="9">
        <v>1</v>
      </c>
      <c r="AE21">
        <v>1</v>
      </c>
      <c r="AN21" s="2">
        <f t="shared" si="8"/>
        <v>3515.69077782852</v>
      </c>
      <c r="AS21">
        <f t="shared" si="0"/>
        <v>18</v>
      </c>
      <c r="AT21" s="5">
        <f t="shared" si="1"/>
        <v>7.60328272175467</v>
      </c>
      <c r="AU21" s="5">
        <f t="shared" si="2"/>
        <v>213.999768542034</v>
      </c>
    </row>
    <row r="22" spans="6:47">
      <c r="F22">
        <v>18</v>
      </c>
      <c r="G22" s="5">
        <f t="shared" si="9"/>
        <v>1520.65654435093</v>
      </c>
      <c r="H22" s="5">
        <f t="shared" si="3"/>
        <v>221.603051263789</v>
      </c>
      <c r="I22" s="5">
        <f t="shared" si="4"/>
        <v>7.60328272175467</v>
      </c>
      <c r="J22" s="5">
        <f t="shared" si="5"/>
        <v>213.999768542034</v>
      </c>
      <c r="K22" s="5">
        <f t="shared" si="6"/>
        <v>1306.6567758089</v>
      </c>
      <c r="L22" s="5"/>
      <c r="M22">
        <v>18</v>
      </c>
      <c r="N22" s="8">
        <f t="shared" si="7"/>
        <v>0.00193307719576555</v>
      </c>
      <c r="O22" s="8"/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>
        <v>1</v>
      </c>
      <c r="AD22" s="9">
        <v>1</v>
      </c>
      <c r="AE22" s="9">
        <v>1</v>
      </c>
      <c r="AF22">
        <v>1</v>
      </c>
      <c r="AN22" s="2">
        <f t="shared" si="8"/>
        <v>3733.56026882345</v>
      </c>
      <c r="AP22" s="4"/>
      <c r="AS22">
        <f t="shared" si="0"/>
        <v>19</v>
      </c>
      <c r="AT22" s="5">
        <f t="shared" si="1"/>
        <v>6.5332838790445</v>
      </c>
      <c r="AU22" s="5">
        <f t="shared" si="2"/>
        <v>215.069767384744</v>
      </c>
    </row>
    <row r="23" spans="6:47">
      <c r="F23">
        <v>19</v>
      </c>
      <c r="G23" s="5">
        <f t="shared" si="9"/>
        <v>1306.6567758089</v>
      </c>
      <c r="H23" s="5">
        <f t="shared" si="3"/>
        <v>221.603051263789</v>
      </c>
      <c r="I23" s="5">
        <f t="shared" si="4"/>
        <v>6.5332838790445</v>
      </c>
      <c r="J23" s="5">
        <f t="shared" si="5"/>
        <v>215.069767384744</v>
      </c>
      <c r="K23" s="5">
        <f t="shared" si="6"/>
        <v>1091.58700842416</v>
      </c>
      <c r="L23" s="5"/>
      <c r="M23">
        <v>19</v>
      </c>
      <c r="N23" s="8">
        <f t="shared" si="7"/>
        <v>0.00192921104137402</v>
      </c>
      <c r="O23" s="8"/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>
        <v>1</v>
      </c>
      <c r="AD23" s="9">
        <v>1</v>
      </c>
      <c r="AE23" s="9">
        <v>1</v>
      </c>
      <c r="AF23" s="9">
        <v>1</v>
      </c>
      <c r="AG23">
        <v>1</v>
      </c>
      <c r="AN23" s="2">
        <f t="shared" si="8"/>
        <v>3951.21210797923</v>
      </c>
      <c r="AS23">
        <f t="shared" si="0"/>
        <v>20</v>
      </c>
      <c r="AT23" s="5">
        <f t="shared" si="1"/>
        <v>5.45793504212078</v>
      </c>
      <c r="AU23" s="5">
        <f t="shared" si="2"/>
        <v>216.145116221668</v>
      </c>
    </row>
    <row r="24" spans="6:47">
      <c r="F24">
        <v>20</v>
      </c>
      <c r="G24" s="5">
        <f t="shared" si="9"/>
        <v>1091.58700842416</v>
      </c>
      <c r="H24" s="5">
        <f t="shared" si="3"/>
        <v>221.603051263789</v>
      </c>
      <c r="I24" s="5">
        <f t="shared" si="4"/>
        <v>5.45793504212078</v>
      </c>
      <c r="J24" s="5">
        <f t="shared" si="5"/>
        <v>216.145116221668</v>
      </c>
      <c r="K24" s="5">
        <f t="shared" si="6"/>
        <v>875.441892202488</v>
      </c>
      <c r="L24" s="5"/>
      <c r="M24">
        <v>20</v>
      </c>
      <c r="N24" s="8">
        <f t="shared" si="7"/>
        <v>0.00192535261929127</v>
      </c>
      <c r="O24" s="8"/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9">
        <v>1</v>
      </c>
      <c r="AC24">
        <v>1</v>
      </c>
      <c r="AD24" s="9">
        <v>1</v>
      </c>
      <c r="AE24" s="9">
        <v>1</v>
      </c>
      <c r="AF24">
        <v>1</v>
      </c>
      <c r="AG24">
        <v>1</v>
      </c>
      <c r="AH24">
        <v>1</v>
      </c>
      <c r="AN24" s="2">
        <f t="shared" si="8"/>
        <v>4168.64651273029</v>
      </c>
      <c r="AQ24" s="13"/>
      <c r="AS24">
        <f t="shared" si="0"/>
        <v>21</v>
      </c>
      <c r="AT24" s="5">
        <f t="shared" si="1"/>
        <v>4.37720946101244</v>
      </c>
      <c r="AU24" s="5">
        <f t="shared" si="2"/>
        <v>217.225841802777</v>
      </c>
    </row>
    <row r="25" spans="6:47">
      <c r="F25">
        <v>21</v>
      </c>
      <c r="G25" s="5">
        <f t="shared" si="9"/>
        <v>875.441892202488</v>
      </c>
      <c r="H25" s="5">
        <f t="shared" si="3"/>
        <v>221.603051263789</v>
      </c>
      <c r="I25" s="5">
        <f t="shared" si="4"/>
        <v>4.37720946101244</v>
      </c>
      <c r="J25" s="5">
        <f t="shared" si="5"/>
        <v>217.225841802777</v>
      </c>
      <c r="K25" s="5">
        <f t="shared" si="6"/>
        <v>658.216050399711</v>
      </c>
      <c r="L25" s="5"/>
      <c r="M25">
        <v>21</v>
      </c>
      <c r="N25" s="8">
        <f t="shared" si="7"/>
        <v>0.00192150191405269</v>
      </c>
      <c r="O25" s="8"/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9">
        <v>1</v>
      </c>
      <c r="AC25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>
        <v>1</v>
      </c>
      <c r="AN25" s="2">
        <f t="shared" si="8"/>
        <v>4385.86370029372</v>
      </c>
      <c r="AQ25" s="13"/>
      <c r="AS25">
        <f t="shared" si="0"/>
        <v>22</v>
      </c>
      <c r="AT25" s="5">
        <f t="shared" si="1"/>
        <v>3.29108025199856</v>
      </c>
      <c r="AU25" s="5">
        <f t="shared" si="2"/>
        <v>218.31197101179</v>
      </c>
    </row>
    <row r="26" spans="6:47">
      <c r="F26">
        <v>22</v>
      </c>
      <c r="G26" s="5">
        <f t="shared" si="9"/>
        <v>658.216050399711</v>
      </c>
      <c r="H26" s="5">
        <f t="shared" si="3"/>
        <v>221.603051263789</v>
      </c>
      <c r="I26" s="5">
        <f t="shared" si="4"/>
        <v>3.29108025199856</v>
      </c>
      <c r="J26" s="5">
        <f t="shared" si="5"/>
        <v>218.31197101179</v>
      </c>
      <c r="K26" s="5">
        <f t="shared" si="6"/>
        <v>439.904079387921</v>
      </c>
      <c r="L26" s="5"/>
      <c r="M26">
        <v>22</v>
      </c>
      <c r="N26" s="8">
        <f t="shared" si="7"/>
        <v>0.00191765891022458</v>
      </c>
      <c r="O26" s="8"/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>
        <v>1</v>
      </c>
      <c r="AC26">
        <v>1</v>
      </c>
      <c r="AD26" s="9">
        <v>1</v>
      </c>
      <c r="AE26" s="9">
        <v>1</v>
      </c>
      <c r="AF26">
        <v>1</v>
      </c>
      <c r="AG26">
        <v>1</v>
      </c>
      <c r="AH26">
        <v>1</v>
      </c>
      <c r="AI26">
        <v>1</v>
      </c>
      <c r="AJ26">
        <v>1</v>
      </c>
      <c r="AN26" s="2">
        <f t="shared" si="8"/>
        <v>4602.86388766982</v>
      </c>
      <c r="AQ26" s="14"/>
      <c r="AS26">
        <f t="shared" si="0"/>
        <v>23</v>
      </c>
      <c r="AT26" s="5">
        <f t="shared" si="1"/>
        <v>2.1995203969396</v>
      </c>
      <c r="AU26" s="5">
        <f t="shared" si="2"/>
        <v>219.403530866849</v>
      </c>
    </row>
    <row r="27" spans="6:47">
      <c r="F27">
        <v>23</v>
      </c>
      <c r="G27" s="5">
        <f t="shared" si="9"/>
        <v>439.904079387921</v>
      </c>
      <c r="H27" s="5">
        <f t="shared" si="3"/>
        <v>221.603051263789</v>
      </c>
      <c r="I27" s="5">
        <f t="shared" si="4"/>
        <v>2.1995203969396</v>
      </c>
      <c r="J27" s="5">
        <f t="shared" si="5"/>
        <v>219.403530866849</v>
      </c>
      <c r="K27" s="5">
        <f t="shared" si="6"/>
        <v>220.500548521071</v>
      </c>
      <c r="L27" s="5"/>
      <c r="M27">
        <v>23</v>
      </c>
      <c r="N27" s="8">
        <f t="shared" si="7"/>
        <v>0.00191382359240413</v>
      </c>
      <c r="O27" s="8"/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>
        <v>1</v>
      </c>
      <c r="AN27" s="2">
        <f t="shared" si="8"/>
        <v>4819.64729164196</v>
      </c>
      <c r="AQ27" s="13"/>
      <c r="AS27">
        <f t="shared" si="0"/>
        <v>24</v>
      </c>
      <c r="AT27" s="5">
        <f t="shared" si="1"/>
        <v>1.10250274260536</v>
      </c>
      <c r="AU27" s="5">
        <f t="shared" si="2"/>
        <v>220.500548521184</v>
      </c>
    </row>
    <row r="28" spans="6:43">
      <c r="F28">
        <v>24</v>
      </c>
      <c r="G28" s="5">
        <f t="shared" si="9"/>
        <v>220.500548521071</v>
      </c>
      <c r="H28" s="5">
        <f t="shared" si="3"/>
        <v>221.603051263789</v>
      </c>
      <c r="I28" s="5">
        <f t="shared" si="4"/>
        <v>1.10250274260536</v>
      </c>
      <c r="J28" s="5">
        <f t="shared" si="5"/>
        <v>220.500548521184</v>
      </c>
      <c r="K28" s="5">
        <f t="shared" si="6"/>
        <v>-1.12294173959526e-10</v>
      </c>
      <c r="L28" s="5"/>
      <c r="M28">
        <v>24</v>
      </c>
      <c r="N28" s="8">
        <f t="shared" si="7"/>
        <v>0.00190999594521932</v>
      </c>
      <c r="O28" s="8"/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>
        <v>1</v>
      </c>
      <c r="AD28" s="9">
        <v>1</v>
      </c>
      <c r="AE28" s="9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N28" s="2">
        <f t="shared" si="8"/>
        <v>5036.21412877696</v>
      </c>
      <c r="AQ28" s="13"/>
    </row>
    <row r="29" spans="13:40">
      <c r="M29">
        <v>25</v>
      </c>
      <c r="N29" s="8">
        <f>1-SUM(N5:N28)</f>
        <v>0.953087976664442</v>
      </c>
      <c r="O29" s="8"/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>
        <v>1</v>
      </c>
      <c r="AD29" s="9">
        <v>1</v>
      </c>
      <c r="AE29" s="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 s="2">
        <f t="shared" si="8"/>
        <v>5252.56461542528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 functions</vt:lpstr>
      <vt:lpstr>Loan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david_000</dc:creator>
  <cp:lastModifiedBy>山水的宇宙</cp:lastModifiedBy>
  <dcterms:created xsi:type="dcterms:W3CDTF">2020-08-27T13:27:00Z</dcterms:created>
  <dcterms:modified xsi:type="dcterms:W3CDTF">2022-09-05T22:00:15Z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d80e9e5d</vt:lpwstr>
  </property>
  <property fmtid="{D5CDD505-2E9C-101B-9397-08002B2CF9AE}" pid="3" name="ICV">
    <vt:lpwstr>B3292D7D697F4C6B838C3170F54C14F8</vt:lpwstr>
  </property>
  <property fmtid="{D5CDD505-2E9C-101B-9397-08002B2CF9AE}" pid="4" name="KSOProductBuildVer">
    <vt:lpwstr>2052-11.1.0.12313</vt:lpwstr>
  </property>
</Properties>
</file>