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0\"/>
    </mc:Choice>
  </mc:AlternateContent>
  <xr:revisionPtr revIDLastSave="0" documentId="13_ncr:1_{C6177135-9887-41C3-8F56-6E922824A1EF}" xr6:coauthVersionLast="45" xr6:coauthVersionMax="45" xr10:uidLastSave="{00000000-0000-0000-0000-000000000000}"/>
  <bookViews>
    <workbookView xWindow="-108" yWindow="-108" windowWidth="23256" windowHeight="12576" xr2:uid="{E30E98C8-8B9C-4169-B915-A5CFCD39B049}"/>
  </bookViews>
  <sheets>
    <sheet name="Sheet1" sheetId="1" r:id="rId1"/>
  </sheets>
  <definedNames>
    <definedName name="solver_adj" localSheetId="0" hidden="1">Sheet1!$I$29:$I$31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Sheet1!$O$29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I29" i="1"/>
  <c r="I10" i="1"/>
  <c r="I32" i="1" l="1"/>
  <c r="H16" i="1"/>
  <c r="L18" i="1"/>
  <c r="M17" i="1"/>
  <c r="K18" i="1"/>
  <c r="M16" i="1"/>
  <c r="K17" i="1"/>
  <c r="L16" i="1"/>
  <c r="O9" i="1"/>
  <c r="P9" i="1" s="1"/>
  <c r="O8" i="1"/>
  <c r="P8" i="1" s="1"/>
  <c r="O7" i="1"/>
  <c r="P7" i="1" s="1"/>
  <c r="N9" i="1"/>
  <c r="N8" i="1"/>
  <c r="N7" i="1"/>
  <c r="L10" i="1"/>
  <c r="M9" i="1"/>
  <c r="M8" i="1"/>
  <c r="M7" i="1"/>
  <c r="L13" i="1"/>
  <c r="L12" i="1"/>
  <c r="Q8" i="1" l="1"/>
  <c r="J17" i="1"/>
  <c r="I17" i="1"/>
  <c r="P10" i="1"/>
  <c r="I19" i="1" s="1"/>
  <c r="I16" i="1"/>
  <c r="Q7" i="1"/>
  <c r="J16" i="1"/>
  <c r="I18" i="1"/>
  <c r="Q9" i="1"/>
  <c r="J18" i="1"/>
  <c r="P18" i="1" s="1"/>
  <c r="O10" i="1"/>
  <c r="S23" i="1" l="1"/>
  <c r="T23" i="1"/>
  <c r="S22" i="1"/>
  <c r="T22" i="1"/>
  <c r="S24" i="1"/>
  <c r="T24" i="1"/>
  <c r="P17" i="1"/>
  <c r="O18" i="1" s="1"/>
  <c r="O17" i="1"/>
  <c r="O16" i="1"/>
  <c r="N17" i="1" s="1"/>
  <c r="P16" i="1"/>
  <c r="N18" i="1" s="1"/>
  <c r="N16" i="1"/>
  <c r="T21" i="1"/>
  <c r="S21" i="1"/>
  <c r="L29" i="1"/>
  <c r="Q16" i="1" l="1" a="1"/>
  <c r="Q16" i="1" s="1"/>
  <c r="L30" i="1" a="1"/>
  <c r="L30" i="1" s="1"/>
  <c r="L31" i="1" s="1"/>
  <c r="O29" i="1" s="1"/>
  <c r="T16" i="1" l="1" a="1"/>
  <c r="J21" i="1"/>
  <c r="T16" i="1" l="1"/>
  <c r="J22" i="1" l="1"/>
  <c r="J23" i="1"/>
  <c r="U18" i="1" l="1"/>
  <c r="P23" i="1" s="1"/>
  <c r="U17" i="1"/>
  <c r="P22" i="1" s="1"/>
  <c r="U16" i="1"/>
  <c r="P21" i="1" s="1"/>
  <c r="M21" i="1"/>
  <c r="M22" i="1" s="1"/>
  <c r="J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<sst xmlns="http://schemas.openxmlformats.org/spreadsheetml/2006/main" count="43" uniqueCount="39">
  <si>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Three Asset Example</t>
  </si>
  <si>
    <t>Assume</t>
  </si>
  <si>
    <t>- Market has three assets defined by normal cash flows</t>
  </si>
  <si>
    <t>- One period model</t>
  </si>
  <si>
    <t>- Risk-free rate</t>
  </si>
  <si>
    <t>- Identical investors agree on everything</t>
  </si>
  <si>
    <t>Implications</t>
  </si>
  <si>
    <t>- Collectively the market owns all the assets</t>
  </si>
  <si>
    <t>Asset</t>
  </si>
  <si>
    <t>Mean</t>
  </si>
  <si>
    <t>- Cost of variance risk</t>
  </si>
  <si>
    <t>Value</t>
  </si>
  <si>
    <t>Total risk charges</t>
  </si>
  <si>
    <t>Covariance with each other</t>
  </si>
  <si>
    <t>Cov w market</t>
  </si>
  <si>
    <t>Share</t>
  </si>
  <si>
    <t>Alloc risk</t>
  </si>
  <si>
    <t>%of market</t>
  </si>
  <si>
    <t>Exp ret</t>
  </si>
  <si>
    <t>SD</t>
  </si>
  <si>
    <t>Correlation with each other</t>
  </si>
  <si>
    <t>rf</t>
  </si>
  <si>
    <t>Covariance</t>
  </si>
  <si>
    <t>A</t>
  </si>
  <si>
    <t>Inverse</t>
  </si>
  <si>
    <t>B</t>
  </si>
  <si>
    <t>xr</t>
  </si>
  <si>
    <t>C</t>
  </si>
  <si>
    <t>D</t>
  </si>
  <si>
    <t>rT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</si>
  <si>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T</t>
    </r>
  </si>
  <si>
    <t>/B</t>
  </si>
  <si>
    <t>wT</t>
  </si>
  <si>
    <t>Solver</t>
  </si>
  <si>
    <t>Sharpe</t>
  </si>
  <si>
    <t>SML</t>
  </si>
  <si>
    <t>Exp Ret</t>
  </si>
  <si>
    <t>Beta</t>
  </si>
  <si>
    <t>Grand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</si>
</sst>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3" fillId="0" borderId="0" xfId="0" applyFon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Sheet1!$S$21:$S$24</c:f>
              <c:numCache>
                <c:formatCode>0.00</c:formatCode>
                <c:ptCount val="4"/>
                <c:pt idx="0">
                  <c:v>1.3639417693169094</c:v>
                </c:pt>
                <c:pt idx="1">
                  <c:v>1.1274449303748222</c:v>
                </c:pt>
                <c:pt idx="2">
                  <c:v>0.81048162935260581</c:v>
                </c:pt>
                <c:pt idx="3">
                  <c:v>1</c:v>
                </c:pt>
              </c:numCache>
            </c:numRef>
          </c:xVal>
          <c:yVal>
            <c:numRef>
              <c:f>Sheet1!$T$21:$T$24</c:f>
              <c:numCache>
                <c:formatCode>0.00%</c:formatCode>
                <c:ptCount val="4"/>
                <c:pt idx="0">
                  <c:v>0.31578947368421062</c:v>
                </c:pt>
                <c:pt idx="1">
                  <c:v>0.26103404791929385</c:v>
                </c:pt>
                <c:pt idx="2">
                  <c:v>0.18764845605700731</c:v>
                </c:pt>
                <c:pt idx="3">
                  <c:v>0.23152709359605916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4-40F1-AC2B-51DC222D0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717407"/>
        <c:axId val="478141103"/>
      </c:scatterChart>
      <c:valAx>
        <c:axId val="122371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41103"/>
        <c:crosses val="autoZero"/>
        <c:crossBetween val="midCat"/>
      </c:valAx>
      <c:valAx>
        <c:axId val="47814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1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525780</xdr:colOff>
      <xdr:row>24</xdr:row>
      <xdr:rowOff>167640</xdr:rowOff>
    </xdr:from>
    <xdr:to>
      <xdr:col>21</xdr:col>
      <xdr:colOff>388620</xdr:colOff>
      <xdr:row>36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355EA-601A-4C8D-A865-09296C325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138-5B83-4F29-9815-AB920ECF539C}">
  <dimension ref="B2:U32"/>
  <sheetViews>
    <sheetView showGridLines="0" tabSelected="1" workbookViewId="0"/>
  </sheetViews>
  <sheetFormatPr defaultRowHeight="14.4"/>
  <cols>
    <col min="2" max="2" width="22.109375" customWidth="1"/>
    <col min="11" max="11" width="10.21875" customWidth="1"/>
    <col min="13" max="13" width="12.21875" customWidth="1"/>
    <col min="17" max="17" width="10.77734375" customWidth="1"/>
    <col min="19" max="19" width="10.6640625" customWidth="1"/>
  </cols>
  <sheetData>
    <row r="2" spans="2:21">
      <c r="B2" t="s">
        <v>0</v>
      </c>
    </row>
    <row r="4" spans="2:21">
      <c r="B4" t="s">
        <v>1</v>
      </c>
    </row>
    <row r="5" spans="2:21">
      <c r="B5" s="1" t="s">
        <v>3</v>
      </c>
    </row>
    <row r="6" spans="2:21">
      <c r="B6" s="1" t="s">
        <v>2</v>
      </c>
      <c r="H6" t="s">
        <v>8</v>
      </c>
      <c r="I6" t="s">
        <v>9</v>
      </c>
      <c r="J6" t="s">
        <v>13</v>
      </c>
      <c r="M6" t="s">
        <v>14</v>
      </c>
      <c r="N6" t="s">
        <v>15</v>
      </c>
      <c r="O6" t="s">
        <v>16</v>
      </c>
      <c r="P6" t="s">
        <v>11</v>
      </c>
      <c r="Q6" s="1" t="s">
        <v>17</v>
      </c>
    </row>
    <row r="7" spans="2:21">
      <c r="B7" s="1" t="s">
        <v>4</v>
      </c>
      <c r="D7">
        <v>0</v>
      </c>
      <c r="H7">
        <v>1</v>
      </c>
      <c r="I7">
        <v>10</v>
      </c>
      <c r="J7" s="7">
        <v>25</v>
      </c>
      <c r="K7" s="8">
        <v>10</v>
      </c>
      <c r="L7" s="9">
        <v>5</v>
      </c>
      <c r="M7">
        <f>SUM(J7:L7)</f>
        <v>40</v>
      </c>
      <c r="N7" s="3">
        <f>M7/$L$10</f>
        <v>0.21276595744680851</v>
      </c>
      <c r="O7" s="5">
        <f>$L$13*N7</f>
        <v>2.4000000000000004</v>
      </c>
      <c r="P7" s="5">
        <f>I7-O7</f>
        <v>7.6</v>
      </c>
      <c r="Q7" s="3">
        <f>P7/$L$12</f>
        <v>0.15599343185550082</v>
      </c>
    </row>
    <row r="8" spans="2:21">
      <c r="B8" s="1" t="s">
        <v>10</v>
      </c>
      <c r="D8">
        <v>0.06</v>
      </c>
      <c r="H8">
        <v>2</v>
      </c>
      <c r="I8">
        <v>20</v>
      </c>
      <c r="J8" s="10">
        <v>10</v>
      </c>
      <c r="K8" s="11">
        <v>49</v>
      </c>
      <c r="L8" s="12">
        <v>10</v>
      </c>
      <c r="M8">
        <f t="shared" ref="M8:M9" si="0">SUM(J8:L8)</f>
        <v>69</v>
      </c>
      <c r="N8" s="3">
        <f t="shared" ref="N8:N9" si="1">M8/$L$10</f>
        <v>0.36702127659574468</v>
      </c>
      <c r="O8" s="5">
        <f t="shared" ref="O8:O9" si="2">$L$13*N8</f>
        <v>4.1400000000000006</v>
      </c>
      <c r="P8" s="5">
        <f t="shared" ref="P8:P9" si="3">I8-O8</f>
        <v>15.86</v>
      </c>
      <c r="Q8" s="3">
        <f t="shared" ref="Q8:Q9" si="4">P8/$L$12</f>
        <v>0.32553366174055831</v>
      </c>
    </row>
    <row r="9" spans="2:21">
      <c r="B9" s="1" t="s">
        <v>5</v>
      </c>
      <c r="H9">
        <v>3</v>
      </c>
      <c r="I9">
        <v>30</v>
      </c>
      <c r="J9" s="13">
        <v>5</v>
      </c>
      <c r="K9" s="14">
        <v>10</v>
      </c>
      <c r="L9" s="15">
        <v>64</v>
      </c>
      <c r="M9">
        <f t="shared" si="0"/>
        <v>79</v>
      </c>
      <c r="N9" s="3">
        <f t="shared" si="1"/>
        <v>0.42021276595744683</v>
      </c>
      <c r="O9" s="5">
        <f t="shared" si="2"/>
        <v>4.7400000000000011</v>
      </c>
      <c r="P9" s="5">
        <f t="shared" si="3"/>
        <v>25.259999999999998</v>
      </c>
      <c r="Q9" s="3">
        <f t="shared" si="4"/>
        <v>0.51847290640394084</v>
      </c>
    </row>
    <row r="10" spans="2:21">
      <c r="I10">
        <f>SUM(I7:I9)</f>
        <v>60</v>
      </c>
      <c r="K10" t="s">
        <v>38</v>
      </c>
      <c r="L10">
        <f>SUM(J7:L9)</f>
        <v>188</v>
      </c>
      <c r="O10" s="5">
        <f>SUM(O7:O9)</f>
        <v>11.280000000000001</v>
      </c>
      <c r="P10" s="5">
        <f>SUM(P7:P9)</f>
        <v>48.72</v>
      </c>
    </row>
    <row r="11" spans="2:21">
      <c r="B11" t="s">
        <v>6</v>
      </c>
    </row>
    <row r="12" spans="2:21">
      <c r="B12" s="1" t="s">
        <v>7</v>
      </c>
      <c r="H12" t="s">
        <v>11</v>
      </c>
      <c r="L12">
        <f>SUM(I7:I9)-D8*SUM(J7:L9)</f>
        <v>48.72</v>
      </c>
    </row>
    <row r="13" spans="2:21">
      <c r="H13" t="s">
        <v>12</v>
      </c>
      <c r="L13">
        <f>SUM(I7:I9)-L12</f>
        <v>11.280000000000001</v>
      </c>
    </row>
    <row r="15" spans="2:21">
      <c r="H15" t="s">
        <v>21</v>
      </c>
      <c r="I15" t="s">
        <v>18</v>
      </c>
      <c r="J15" t="s">
        <v>19</v>
      </c>
      <c r="K15" t="s">
        <v>20</v>
      </c>
      <c r="N15" t="s">
        <v>22</v>
      </c>
      <c r="Q15" t="s">
        <v>24</v>
      </c>
      <c r="T15" t="s">
        <v>26</v>
      </c>
      <c r="U15" s="1" t="s">
        <v>31</v>
      </c>
    </row>
    <row r="16" spans="2:21">
      <c r="H16">
        <f>D7</f>
        <v>0</v>
      </c>
      <c r="I16" s="3">
        <f>I7/P7-1</f>
        <v>0.31578947368421062</v>
      </c>
      <c r="J16" s="3">
        <f>SQRT(J7)/P7</f>
        <v>0.65789473684210531</v>
      </c>
      <c r="K16" s="3">
        <v>1</v>
      </c>
      <c r="L16" s="3">
        <f>K7/(SQRT(J7)*SQRT(K8))</f>
        <v>0.2857142857142857</v>
      </c>
      <c r="M16" s="3">
        <f>L7/(SQRT(J7)*SQRT(L9))</f>
        <v>0.125</v>
      </c>
      <c r="N16" s="3">
        <f>J16^2</f>
        <v>0.43282548476454302</v>
      </c>
      <c r="O16" s="3">
        <f>L16*J16*J17</f>
        <v>8.2962766310479857E-2</v>
      </c>
      <c r="P16" s="3">
        <f>M16*(J16*J18)</f>
        <v>2.6044922281951915E-2</v>
      </c>
      <c r="Q16" s="16" cm="1">
        <f t="array" ref="Q16:S18">MINVERSE(N16:P18)</f>
        <v>2.5313512811259469</v>
      </c>
      <c r="R16" s="17">
        <v>-1.0265787080476358</v>
      </c>
      <c r="S16" s="18">
        <v>-0.40182634428004316</v>
      </c>
      <c r="T16" s="4" cm="1">
        <f t="array" ref="T16:T18">MMULT(_xlfn.ANCHORARRAY(Q16),I16:I18)</f>
        <v>0.45600000000000007</v>
      </c>
      <c r="U16" s="3">
        <f>T16/$J$22</f>
        <v>0.15599343185550074</v>
      </c>
    </row>
    <row r="17" spans="8:21">
      <c r="I17" s="3">
        <f t="shared" ref="I17:I18" si="5">I8/P8-1</f>
        <v>0.26103404791929385</v>
      </c>
      <c r="J17" s="3">
        <f>SQRT(K8)/P8</f>
        <v>0.44136191677175285</v>
      </c>
      <c r="K17" s="3">
        <f>L16</f>
        <v>0.2857142857142857</v>
      </c>
      <c r="L17" s="3">
        <v>1</v>
      </c>
      <c r="M17" s="3">
        <f>L8/(SQRT(K8)*SQRT(L9))</f>
        <v>0.17857142857142858</v>
      </c>
      <c r="N17" s="3">
        <f>O16</f>
        <v>8.2962766310479857E-2</v>
      </c>
      <c r="O17" s="3">
        <f>J17^2</f>
        <v>0.19480034157643569</v>
      </c>
      <c r="P17" s="3">
        <f>M17*J17*J18</f>
        <v>2.4961085667444458E-2</v>
      </c>
      <c r="Q17" s="19">
        <v>-1.0265787080476358</v>
      </c>
      <c r="R17" s="20">
        <v>5.7188721761097074</v>
      </c>
      <c r="S17" s="21">
        <v>-1.1566181162035367</v>
      </c>
      <c r="T17" s="4">
        <v>0.95159999999999989</v>
      </c>
      <c r="U17" s="3">
        <f t="shared" ref="U17:U18" si="6">T17/$J$22</f>
        <v>0.32553366174055803</v>
      </c>
    </row>
    <row r="18" spans="8:21">
      <c r="I18" s="3">
        <f t="shared" si="5"/>
        <v>0.18764845605700731</v>
      </c>
      <c r="J18" s="3">
        <f>SQRT(L9)/P9</f>
        <v>0.31670625494853527</v>
      </c>
      <c r="K18" s="3">
        <f>M16</f>
        <v>0.125</v>
      </c>
      <c r="L18" s="3">
        <f>M17</f>
        <v>0.17857142857142858</v>
      </c>
      <c r="M18" s="3">
        <v>1</v>
      </c>
      <c r="N18" s="3">
        <f>P16</f>
        <v>2.6044922281951915E-2</v>
      </c>
      <c r="O18" s="3">
        <f>P17</f>
        <v>2.4961085667444458E-2</v>
      </c>
      <c r="P18" s="3">
        <f>J18^2</f>
        <v>0.10030285192352661</v>
      </c>
      <c r="Q18" s="22">
        <v>-0.40182634428004316</v>
      </c>
      <c r="R18" s="23">
        <v>-1.1566181162035367</v>
      </c>
      <c r="S18" s="24">
        <v>10.361978347167087</v>
      </c>
      <c r="T18" s="4">
        <v>1.5156000000000018</v>
      </c>
      <c r="U18" s="3">
        <f t="shared" si="6"/>
        <v>0.51847290640394117</v>
      </c>
    </row>
    <row r="19" spans="8:21">
      <c r="I19" s="3">
        <f>I10/P10-1</f>
        <v>0.23152709359605916</v>
      </c>
    </row>
    <row r="20" spans="8:21">
      <c r="S20" t="s">
        <v>37</v>
      </c>
      <c r="T20" t="s">
        <v>36</v>
      </c>
    </row>
    <row r="21" spans="8:21">
      <c r="I21" t="s">
        <v>23</v>
      </c>
      <c r="J21" s="5">
        <f>SUM(_xlfn.ANCHORARRAY(Q16))</f>
        <v>13.44215546734031</v>
      </c>
      <c r="L21" t="s">
        <v>29</v>
      </c>
      <c r="M21" s="3">
        <f>J23/J22</f>
        <v>0.23152709359605922</v>
      </c>
      <c r="N21" s="3"/>
      <c r="O21" s="3" t="s">
        <v>32</v>
      </c>
      <c r="P21" s="3">
        <f>U16</f>
        <v>0.15599343185550074</v>
      </c>
      <c r="R21" t="s">
        <v>35</v>
      </c>
      <c r="S21" s="5">
        <f>I16/$I$19</f>
        <v>1.3639417693169094</v>
      </c>
      <c r="T21" s="3">
        <f>I16</f>
        <v>0.31578947368421062</v>
      </c>
    </row>
    <row r="22" spans="8:21">
      <c r="I22" t="s">
        <v>25</v>
      </c>
      <c r="J22" s="5">
        <f>SUM(_xlfn.ANCHORARRAY(T16))</f>
        <v>2.9232000000000018</v>
      </c>
      <c r="L22" s="2" t="s">
        <v>30</v>
      </c>
      <c r="M22" s="3">
        <f>SQRT((J21*M21^2-2*J22*M21+J23)/J24)</f>
        <v>0.28143081282434473</v>
      </c>
      <c r="N22" s="3"/>
      <c r="O22" s="3"/>
      <c r="P22" s="3">
        <f t="shared" ref="P22:P23" si="7">U17</f>
        <v>0.32553366174055803</v>
      </c>
      <c r="S22" s="5">
        <f t="shared" ref="S22:S24" si="8">I17/$I$19</f>
        <v>1.1274449303748222</v>
      </c>
      <c r="T22" s="3">
        <f t="shared" ref="T22:T24" si="9">I17</f>
        <v>0.26103404791929385</v>
      </c>
    </row>
    <row r="23" spans="8:21">
      <c r="I23" t="s">
        <v>27</v>
      </c>
      <c r="J23" s="5">
        <f>SUMPRODUCT(I16:I18,_xlfn.ANCHORARRAY(T16))</f>
        <v>0.67680000000000073</v>
      </c>
      <c r="M23" s="3"/>
      <c r="N23" s="3"/>
      <c r="O23" s="3"/>
      <c r="P23" s="3">
        <f t="shared" si="7"/>
        <v>0.51847290640394117</v>
      </c>
      <c r="S23" s="5">
        <f t="shared" si="8"/>
        <v>0.81048162935260581</v>
      </c>
      <c r="T23" s="3">
        <f t="shared" si="9"/>
        <v>0.18764845605700731</v>
      </c>
    </row>
    <row r="24" spans="8:21">
      <c r="I24" t="s">
        <v>28</v>
      </c>
      <c r="J24" s="5">
        <f>J21*J23-J22^2</f>
        <v>0.55255258029592191</v>
      </c>
      <c r="M24" s="3"/>
      <c r="N24" s="3"/>
      <c r="O24" s="3"/>
      <c r="P24" s="3"/>
      <c r="S24" s="5">
        <f t="shared" si="8"/>
        <v>1</v>
      </c>
      <c r="T24" s="3">
        <f t="shared" si="9"/>
        <v>0.23152709359605916</v>
      </c>
    </row>
    <row r="27" spans="8:21">
      <c r="I27" t="s">
        <v>33</v>
      </c>
    </row>
    <row r="29" spans="8:21">
      <c r="H29" t="s">
        <v>32</v>
      </c>
      <c r="I29" s="6">
        <f>1/3</f>
        <v>0.33333333333333331</v>
      </c>
      <c r="K29" t="s">
        <v>29</v>
      </c>
      <c r="L29">
        <f>SUMPRODUCT(I29:I31,I16:I18)</f>
        <v>0.25482399255350391</v>
      </c>
      <c r="N29" t="s">
        <v>34</v>
      </c>
      <c r="O29">
        <f>L29/L31</f>
        <v>0.76605697024945252</v>
      </c>
    </row>
    <row r="30" spans="8:21">
      <c r="I30" s="6">
        <f t="shared" ref="I30:I31" si="10">1/3</f>
        <v>0.33333333333333331</v>
      </c>
      <c r="L30" cm="1">
        <f t="array" ref="L30">MMULT(TRANSPOSE(I29:I31),MMULT(N16:P18,I29:I31))</f>
        <v>0.11065180297602863</v>
      </c>
    </row>
    <row r="31" spans="8:21">
      <c r="I31" s="6">
        <f t="shared" si="10"/>
        <v>0.33333333333333331</v>
      </c>
      <c r="K31" s="2" t="s">
        <v>30</v>
      </c>
      <c r="L31">
        <f>SQRT(L30)</f>
        <v>0.33264365765189124</v>
      </c>
    </row>
    <row r="32" spans="8:21">
      <c r="I32">
        <f>SUM(I29:I31)</f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2020-10-07T01:26:51Z</dcterms:created>
  <dcterms:modified xsi:type="dcterms:W3CDTF">2020-10-09T21:12:43Z</dcterms:modified>
</cp:coreProperties>
</file>