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igia\Documents\INFOODS\"/>
    </mc:Choice>
  </mc:AlternateContent>
  <bookViews>
    <workbookView xWindow="11250" yWindow="60" windowWidth="11730" windowHeight="11700" tabRatio="659"/>
  </bookViews>
  <sheets>
    <sheet name="Copyright" sheetId="19" r:id="rId1"/>
    <sheet name="Codes" sheetId="2" r:id="rId2"/>
    <sheet name="Food groups" sheetId="3" r:id="rId3"/>
    <sheet name="01 Cereals" sheetId="4" r:id="rId4"/>
    <sheet name="02 Starchy Roots &amp; Tubers" sheetId="5" r:id="rId5"/>
    <sheet name="03 Legumes" sheetId="6" r:id="rId6"/>
    <sheet name="04 Nuts &amp; Seeds" sheetId="7" r:id="rId7"/>
    <sheet name="05 Vegetables" sheetId="8" r:id="rId8"/>
    <sheet name="06 Fruits" sheetId="9" r:id="rId9"/>
    <sheet name="07 Meat" sheetId="10" r:id="rId10"/>
    <sheet name="08 Eggs" sheetId="11" r:id="rId11"/>
    <sheet name="09 Fish &amp; Shellfish" sheetId="12" r:id="rId12"/>
    <sheet name="09 Fish &amp; Shellfish_fatty acids" sheetId="13" r:id="rId13"/>
    <sheet name="10 Milk" sheetId="14" r:id="rId14"/>
    <sheet name="11 Herbs &amp; Spices" sheetId="15" r:id="rId15"/>
    <sheet name="12 Miscellaneous" sheetId="16" r:id="rId16"/>
    <sheet name="Components" sheetId="17" r:id="rId17"/>
    <sheet name="Bibliography" sheetId="18" r:id="rId18"/>
  </sheets>
  <definedNames>
    <definedName name="_xlnm._FilterDatabase" localSheetId="3" hidden="1">'01 Cereals'!$A$2:$IG$2</definedName>
    <definedName name="_xlnm._FilterDatabase" localSheetId="11" hidden="1">'09 Fish &amp; Shellfish'!$A$1:$IM$903</definedName>
  </definedNames>
  <calcPr calcId="152511"/>
</workbook>
</file>

<file path=xl/calcChain.xml><?xml version="1.0" encoding="utf-8"?>
<calcChain xmlns="http://schemas.openxmlformats.org/spreadsheetml/2006/main">
  <c r="V104" i="4" l="1"/>
  <c r="V103" i="4"/>
  <c r="V102" i="4"/>
  <c r="V101" i="4"/>
  <c r="V100" i="4"/>
  <c r="V99" i="4"/>
  <c r="V98" i="4"/>
  <c r="V97" i="4"/>
  <c r="V96" i="4"/>
  <c r="V95" i="4"/>
  <c r="V94" i="4"/>
  <c r="V93" i="4"/>
  <c r="V92" i="4"/>
  <c r="V91" i="4"/>
  <c r="V90" i="4"/>
  <c r="V89" i="4"/>
  <c r="V85" i="4"/>
  <c r="BM85" i="4"/>
  <c r="V84" i="4"/>
  <c r="BF84" i="4"/>
  <c r="V83" i="4"/>
  <c r="BM83" i="4"/>
  <c r="V80" i="4"/>
  <c r="BV80" i="4"/>
  <c r="V79" i="4"/>
  <c r="BY79" i="4"/>
  <c r="V78" i="4"/>
  <c r="BV78" i="4"/>
  <c r="V77" i="4"/>
  <c r="BY77" i="4"/>
  <c r="V76" i="4"/>
  <c r="BV76" i="4"/>
  <c r="V75" i="4"/>
  <c r="BY75" i="4"/>
  <c r="V74" i="4"/>
  <c r="BV74" i="4"/>
  <c r="V42" i="4"/>
  <c r="V41" i="4"/>
  <c r="AD36" i="4"/>
  <c r="AD35" i="4"/>
  <c r="AD34" i="4"/>
  <c r="AD33" i="4"/>
  <c r="AD32" i="4"/>
  <c r="R32" i="4"/>
  <c r="BY28" i="4"/>
  <c r="BU28" i="4"/>
  <c r="BT28" i="4"/>
  <c r="BR28" i="4"/>
  <c r="BQ28" i="4"/>
  <c r="BO28" i="4"/>
  <c r="BM28" i="4"/>
  <c r="BF28" i="4"/>
  <c r="AF28" i="4"/>
  <c r="AB28" i="4"/>
  <c r="BY27" i="4"/>
  <c r="BU27" i="4"/>
  <c r="BT27" i="4"/>
  <c r="BR27" i="4"/>
  <c r="BQ27" i="4"/>
  <c r="BO27" i="4"/>
  <c r="BM27" i="4"/>
  <c r="BF27" i="4"/>
  <c r="AF27" i="4"/>
  <c r="AB27" i="4"/>
  <c r="BY26" i="4"/>
  <c r="BU26" i="4"/>
  <c r="BT26" i="4"/>
  <c r="BR26" i="4"/>
  <c r="BQ26" i="4"/>
  <c r="BO26" i="4"/>
  <c r="BM26" i="4"/>
  <c r="BF26" i="4"/>
  <c r="AF26" i="4"/>
  <c r="AB26" i="4"/>
  <c r="BY25" i="4"/>
  <c r="BU25" i="4"/>
  <c r="BT25" i="4"/>
  <c r="BR25" i="4"/>
  <c r="BQ25" i="4"/>
  <c r="BO25" i="4"/>
  <c r="BM25" i="4"/>
  <c r="BF25" i="4"/>
  <c r="AF25" i="4"/>
  <c r="AB25" i="4"/>
  <c r="BY24" i="4"/>
  <c r="BU24" i="4"/>
  <c r="BT24" i="4"/>
  <c r="BR24" i="4"/>
  <c r="BQ24" i="4"/>
  <c r="BO24" i="4"/>
  <c r="BM24" i="4"/>
  <c r="BF24" i="4"/>
  <c r="AF24" i="4"/>
  <c r="AB24" i="4"/>
  <c r="BY23" i="4"/>
  <c r="BU23" i="4"/>
  <c r="BT23" i="4"/>
  <c r="BR23" i="4"/>
  <c r="BQ23" i="4"/>
  <c r="BO23" i="4"/>
  <c r="BM23" i="4"/>
  <c r="BF23" i="4"/>
  <c r="AF23" i="4"/>
  <c r="AB23" i="4"/>
  <c r="BY22" i="4"/>
  <c r="BU22" i="4"/>
  <c r="BT22" i="4"/>
  <c r="BR22" i="4"/>
  <c r="BQ22" i="4"/>
  <c r="BO22" i="4"/>
  <c r="BM22" i="4"/>
  <c r="BF22" i="4"/>
  <c r="AF22" i="4"/>
  <c r="AB22" i="4"/>
  <c r="BY21" i="4"/>
  <c r="BU21" i="4"/>
  <c r="BT21" i="4"/>
  <c r="BR21" i="4"/>
  <c r="BQ21" i="4"/>
  <c r="BO21" i="4"/>
  <c r="BM21" i="4"/>
  <c r="BF21" i="4"/>
  <c r="AF21" i="4"/>
  <c r="AB21" i="4"/>
  <c r="BB18" i="4"/>
  <c r="U15" i="4"/>
  <c r="V15" i="4"/>
  <c r="BM15" i="4"/>
  <c r="BT75" i="4"/>
  <c r="BT77" i="4"/>
  <c r="BT79" i="4"/>
  <c r="BF83" i="4"/>
  <c r="BO75" i="4"/>
  <c r="BO77" i="4"/>
  <c r="BO79" i="4"/>
  <c r="X83" i="4"/>
  <c r="AG85" i="4"/>
  <c r="BR75" i="4"/>
  <c r="BV75" i="4"/>
  <c r="BR77" i="4"/>
  <c r="BV77" i="4"/>
  <c r="BR79" i="4"/>
  <c r="BV79" i="4"/>
  <c r="AG83" i="4"/>
  <c r="X85" i="4"/>
  <c r="BF85" i="4"/>
  <c r="AG15" i="4"/>
  <c r="BI15" i="4"/>
  <c r="BK15" i="4"/>
  <c r="EW15" i="4"/>
  <c r="BQ74" i="4"/>
  <c r="BS74" i="4"/>
  <c r="BU74" i="4"/>
  <c r="BY74" i="4"/>
  <c r="BQ76" i="4"/>
  <c r="BS76" i="4"/>
  <c r="BU76" i="4"/>
  <c r="BY76" i="4"/>
  <c r="BQ78" i="4"/>
  <c r="BS78" i="4"/>
  <c r="BU78" i="4"/>
  <c r="BY78" i="4"/>
  <c r="BQ80" i="4"/>
  <c r="BS80" i="4"/>
  <c r="BU80" i="4"/>
  <c r="BY80" i="4"/>
  <c r="AD84" i="4"/>
  <c r="AR84" i="4"/>
  <c r="BM84" i="4"/>
  <c r="AD15" i="4"/>
  <c r="AM15" i="4"/>
  <c r="BJ15" i="4"/>
  <c r="BO74" i="4"/>
  <c r="BR74" i="4"/>
  <c r="BT74" i="4"/>
  <c r="BQ75" i="4"/>
  <c r="BS75" i="4"/>
  <c r="BU75" i="4"/>
  <c r="BO76" i="4"/>
  <c r="BR76" i="4"/>
  <c r="BT76" i="4"/>
  <c r="BQ77" i="4"/>
  <c r="BS77" i="4"/>
  <c r="BU77" i="4"/>
  <c r="BO78" i="4"/>
  <c r="BR78" i="4"/>
  <c r="BT78" i="4"/>
  <c r="BQ79" i="4"/>
  <c r="BS79" i="4"/>
  <c r="BU79" i="4"/>
  <c r="BO80" i="4"/>
  <c r="BR80" i="4"/>
  <c r="BT80" i="4"/>
  <c r="AD83" i="4"/>
  <c r="AR83" i="4"/>
  <c r="X84" i="4"/>
  <c r="AG84" i="4"/>
  <c r="AD85" i="4"/>
  <c r="AR85" i="4"/>
  <c r="AD3" i="4"/>
  <c r="T888" i="13"/>
  <c r="T887" i="13"/>
  <c r="T886" i="13"/>
  <c r="T885" i="13"/>
  <c r="T884" i="13"/>
  <c r="T883" i="13"/>
  <c r="T882" i="13"/>
  <c r="BD3" i="4"/>
  <c r="ED37" i="5"/>
  <c r="ED36" i="5"/>
  <c r="ED35" i="5"/>
  <c r="IO3" i="16"/>
  <c r="IN3" i="16"/>
  <c r="IM3" i="16"/>
  <c r="IL3" i="16"/>
  <c r="IK3" i="16"/>
  <c r="IJ3" i="16"/>
  <c r="II3" i="16"/>
  <c r="IH3" i="16"/>
  <c r="IG3" i="16"/>
  <c r="IF3" i="16"/>
  <c r="IE3" i="16"/>
  <c r="ID3" i="16"/>
  <c r="IC3" i="16"/>
  <c r="IB3" i="16"/>
  <c r="IA3" i="16"/>
  <c r="HZ3" i="16"/>
  <c r="HY3" i="16"/>
  <c r="HX3" i="16"/>
  <c r="HW3" i="16"/>
  <c r="HV3" i="16"/>
  <c r="HU3" i="16"/>
  <c r="HT3" i="16"/>
  <c r="HS3" i="16"/>
  <c r="HR3" i="16"/>
  <c r="HQ3" i="16"/>
  <c r="HP3" i="16"/>
  <c r="HO3" i="16"/>
  <c r="HN3" i="16"/>
  <c r="HM3" i="16"/>
  <c r="HL3" i="16"/>
  <c r="HK3" i="16"/>
  <c r="HJ3" i="16"/>
  <c r="HI3" i="16"/>
  <c r="HH3" i="16"/>
  <c r="HG3" i="16"/>
  <c r="HF3" i="16"/>
  <c r="HE3" i="16"/>
  <c r="HD3" i="16"/>
  <c r="HC3" i="16"/>
  <c r="HB3" i="16"/>
  <c r="HA3" i="16"/>
  <c r="GZ3" i="16"/>
  <c r="GY3" i="16"/>
  <c r="GX3" i="16"/>
  <c r="GW3" i="16"/>
  <c r="GV3" i="16"/>
  <c r="GU3" i="16"/>
  <c r="GT3" i="16"/>
  <c r="GS3" i="16"/>
  <c r="GR3" i="16"/>
  <c r="GQ3" i="16"/>
  <c r="GP3" i="16"/>
  <c r="GO3" i="16"/>
  <c r="GN3" i="16"/>
  <c r="GM3" i="16"/>
  <c r="GL3" i="16"/>
  <c r="GK3" i="16"/>
  <c r="GJ3" i="16"/>
  <c r="GI3" i="16"/>
  <c r="GH3" i="16"/>
  <c r="GG3" i="16"/>
  <c r="GF3" i="16"/>
  <c r="GE3" i="16"/>
  <c r="GD3" i="16"/>
  <c r="GC3" i="16"/>
  <c r="GB3" i="16"/>
  <c r="GA3" i="16"/>
  <c r="FZ3" i="16"/>
  <c r="FY3" i="16"/>
  <c r="FX3" i="16"/>
  <c r="FW3" i="16"/>
  <c r="FV3" i="16"/>
  <c r="FU3" i="16"/>
  <c r="FT3" i="16"/>
  <c r="FS3" i="16"/>
  <c r="FR3" i="16"/>
  <c r="FQ3" i="16"/>
  <c r="FP3" i="16"/>
  <c r="FO3" i="16"/>
  <c r="FN3" i="16"/>
  <c r="FM3" i="16"/>
  <c r="FL3" i="16"/>
  <c r="FK3" i="16"/>
  <c r="FJ3" i="16"/>
  <c r="FI3" i="16"/>
  <c r="FH3" i="16"/>
  <c r="FG3" i="16"/>
  <c r="FF3" i="16"/>
  <c r="FE3" i="16"/>
  <c r="FD3" i="16"/>
  <c r="FC3" i="16"/>
  <c r="FB3" i="16"/>
  <c r="FA3" i="16"/>
  <c r="EZ3" i="16"/>
  <c r="EY3" i="16"/>
  <c r="EX3" i="16"/>
  <c r="EW3" i="16"/>
  <c r="EV3" i="16"/>
  <c r="EU3" i="16"/>
  <c r="ET3" i="16"/>
  <c r="ES3" i="16"/>
  <c r="ER3" i="16"/>
  <c r="EQ3" i="16"/>
  <c r="EP3" i="16"/>
  <c r="EO3" i="16"/>
  <c r="EN3" i="16"/>
  <c r="EM3" i="16"/>
  <c r="EL3" i="16"/>
  <c r="EK3" i="16"/>
  <c r="EJ3" i="16"/>
  <c r="EI3" i="16"/>
  <c r="EH3" i="16"/>
  <c r="EG3" i="16"/>
  <c r="EF3" i="16"/>
  <c r="EE3" i="16"/>
  <c r="ED3" i="16"/>
  <c r="EC3" i="16"/>
  <c r="EB3" i="16"/>
  <c r="EA3" i="16"/>
  <c r="DZ3" i="16"/>
  <c r="DY3" i="16"/>
  <c r="DX3" i="16"/>
  <c r="DW3" i="16"/>
  <c r="DV3" i="16"/>
  <c r="DU3" i="16"/>
  <c r="DT3" i="16"/>
  <c r="DS3" i="16"/>
  <c r="DR3" i="16"/>
  <c r="DQ3" i="16"/>
  <c r="DP3" i="16"/>
  <c r="DO3" i="16"/>
  <c r="DN3" i="16"/>
  <c r="DM3" i="16"/>
  <c r="DL3" i="16"/>
  <c r="DK3" i="16"/>
  <c r="DJ3" i="16"/>
  <c r="DI3" i="16"/>
  <c r="DH3" i="16"/>
  <c r="DG3" i="16"/>
  <c r="DF3" i="16"/>
  <c r="DE3" i="16"/>
  <c r="DD3" i="16"/>
  <c r="DC3" i="16"/>
  <c r="DB3" i="16"/>
  <c r="DA3" i="16"/>
  <c r="CZ3" i="16"/>
  <c r="CY3" i="16"/>
  <c r="CX3" i="16"/>
  <c r="CW3" i="16"/>
  <c r="CV3" i="16"/>
  <c r="CU3" i="16"/>
  <c r="CT3" i="16"/>
  <c r="CS3" i="16"/>
  <c r="CR3" i="16"/>
  <c r="CQ3" i="16"/>
  <c r="CP3" i="16"/>
  <c r="CO3" i="16"/>
  <c r="CN3" i="16"/>
  <c r="CM3" i="16"/>
  <c r="CL3" i="16"/>
  <c r="CK3" i="16"/>
  <c r="CJ3" i="16"/>
  <c r="CI3" i="16"/>
  <c r="CH3" i="16"/>
  <c r="CG3" i="16"/>
  <c r="CF3" i="16"/>
  <c r="CE3" i="16"/>
  <c r="CD3" i="16"/>
  <c r="CC3" i="16"/>
  <c r="CB3" i="16"/>
  <c r="CA3" i="16"/>
  <c r="BZ3" i="16"/>
  <c r="BY3" i="16"/>
  <c r="BX3" i="16"/>
  <c r="BW3" i="16"/>
  <c r="BV3" i="16"/>
  <c r="BU3" i="16"/>
  <c r="BT3" i="16"/>
  <c r="BS3" i="16"/>
  <c r="BR3" i="16"/>
  <c r="BQ3" i="16"/>
  <c r="BP3" i="16"/>
  <c r="BO3" i="16"/>
  <c r="BN3" i="16"/>
  <c r="BM3" i="16"/>
  <c r="BL3" i="16"/>
  <c r="BK3" i="16"/>
  <c r="BJ3" i="16"/>
  <c r="BI3" i="16"/>
  <c r="BH3" i="16"/>
  <c r="BG3" i="16"/>
  <c r="BF3" i="16"/>
  <c r="BE3" i="16"/>
  <c r="BD3" i="16"/>
  <c r="BC3" i="16"/>
  <c r="BB3" i="16"/>
  <c r="BA3" i="16"/>
  <c r="AZ3" i="16"/>
  <c r="AY3" i="16"/>
  <c r="AX3" i="16"/>
  <c r="AW3" i="16"/>
  <c r="AV3" i="16"/>
  <c r="AU3" i="16"/>
  <c r="AT3" i="16"/>
  <c r="AS3" i="16"/>
  <c r="AR3" i="16"/>
  <c r="AQ3" i="16"/>
  <c r="AP3" i="16"/>
  <c r="AO3" i="16"/>
  <c r="AN3" i="16"/>
  <c r="AM3" i="16"/>
  <c r="AL3" i="16"/>
  <c r="AK3" i="16"/>
  <c r="AJ3" i="16"/>
  <c r="AI3" i="16"/>
  <c r="AH3" i="16"/>
  <c r="AG3" i="16"/>
  <c r="AF3" i="16"/>
  <c r="AE3" i="16"/>
  <c r="AD3" i="16"/>
  <c r="AC3" i="16"/>
  <c r="AB3" i="16"/>
  <c r="AA3" i="16"/>
  <c r="Z3" i="16"/>
  <c r="Y3" i="16"/>
  <c r="X3" i="16"/>
  <c r="W3" i="16"/>
  <c r="V3" i="16"/>
  <c r="U3" i="16"/>
  <c r="T3" i="16"/>
  <c r="S3" i="16"/>
  <c r="R3" i="16"/>
  <c r="Q3" i="16"/>
  <c r="P3" i="16"/>
  <c r="O3" i="16"/>
  <c r="O3" i="4"/>
  <c r="P3" i="4"/>
  <c r="T3" i="4"/>
  <c r="IO3" i="13"/>
  <c r="IN3" i="13"/>
  <c r="IM3" i="13"/>
  <c r="IL3" i="13"/>
  <c r="IK3" i="13"/>
  <c r="IJ3" i="13"/>
  <c r="II3" i="13"/>
  <c r="IH3" i="13"/>
  <c r="IG3" i="13"/>
  <c r="IF3" i="13"/>
  <c r="IE3" i="13"/>
  <c r="ID3" i="13"/>
  <c r="IC3" i="13"/>
  <c r="IB3" i="13"/>
  <c r="IA3" i="13"/>
  <c r="HZ3" i="13"/>
  <c r="HY3" i="13"/>
  <c r="HX3" i="13"/>
  <c r="HW3" i="13"/>
  <c r="HV3" i="13"/>
  <c r="HU3" i="13"/>
  <c r="HT3" i="13"/>
  <c r="HS3" i="13"/>
  <c r="HR3" i="13"/>
  <c r="HQ3" i="13"/>
  <c r="HP3" i="13"/>
  <c r="HO3" i="13"/>
  <c r="HN3" i="13"/>
  <c r="HM3" i="13"/>
  <c r="HL3" i="13"/>
  <c r="HK3" i="13"/>
  <c r="HJ3" i="13"/>
  <c r="HI3" i="13"/>
  <c r="HH3" i="13"/>
  <c r="HG3" i="13"/>
  <c r="HF3" i="13"/>
  <c r="HE3" i="13"/>
  <c r="HD3" i="13"/>
  <c r="HC3" i="13"/>
  <c r="HB3" i="13"/>
  <c r="HA3" i="13"/>
  <c r="GZ3" i="13"/>
  <c r="GY3" i="13"/>
  <c r="GX3" i="13"/>
  <c r="GW3" i="13"/>
  <c r="GV3" i="13"/>
  <c r="GU3" i="13"/>
  <c r="GT3" i="13"/>
  <c r="GS3" i="13"/>
  <c r="GR3" i="13"/>
  <c r="GQ3" i="13"/>
  <c r="GP3" i="13"/>
  <c r="GO3" i="13"/>
  <c r="GN3" i="13"/>
  <c r="GM3" i="13"/>
  <c r="GL3" i="13"/>
  <c r="GK3" i="13"/>
  <c r="GJ3" i="13"/>
  <c r="GI3" i="13"/>
  <c r="GH3" i="13"/>
  <c r="GG3" i="13"/>
  <c r="GF3" i="13"/>
  <c r="GE3" i="13"/>
  <c r="GD3" i="13"/>
  <c r="GC3" i="13"/>
  <c r="GB3" i="13"/>
  <c r="GA3" i="13"/>
  <c r="FZ3" i="13"/>
  <c r="FY3" i="13"/>
  <c r="FX3" i="13"/>
  <c r="FW3" i="13"/>
  <c r="FV3" i="13"/>
  <c r="FU3" i="13"/>
  <c r="FT3" i="13"/>
  <c r="FS3" i="13"/>
  <c r="FR3" i="13"/>
  <c r="FQ3" i="13"/>
  <c r="FP3" i="13"/>
  <c r="FO3" i="13"/>
  <c r="FN3" i="13"/>
  <c r="FM3" i="13"/>
  <c r="FL3" i="13"/>
  <c r="FK3" i="13"/>
  <c r="FJ3" i="13"/>
  <c r="FI3" i="13"/>
  <c r="FH3" i="13"/>
  <c r="FG3" i="13"/>
  <c r="FF3" i="13"/>
  <c r="FE3" i="13"/>
  <c r="FD3" i="13"/>
  <c r="FC3" i="13"/>
  <c r="FB3" i="13"/>
  <c r="FA3" i="13"/>
  <c r="EZ3" i="13"/>
  <c r="EY3" i="13"/>
  <c r="EX3" i="13"/>
  <c r="EW3" i="13"/>
  <c r="EV3" i="13"/>
  <c r="EU3" i="13"/>
  <c r="ET3" i="13"/>
  <c r="ES3" i="13"/>
  <c r="ER3" i="13"/>
  <c r="EQ3" i="13"/>
  <c r="EP3" i="13"/>
  <c r="EO3" i="13"/>
  <c r="EN3" i="13"/>
  <c r="EM3" i="13"/>
  <c r="EL3" i="13"/>
  <c r="EK3" i="13"/>
  <c r="EJ3" i="13"/>
  <c r="EI3" i="13"/>
  <c r="EH3" i="13"/>
  <c r="EG3" i="13"/>
  <c r="EF3" i="13"/>
  <c r="EE3" i="13"/>
  <c r="ED3" i="13"/>
  <c r="EC3" i="13"/>
  <c r="EB3" i="13"/>
  <c r="EA3" i="13"/>
  <c r="DZ3" i="13"/>
  <c r="DY3" i="13"/>
  <c r="DX3" i="13"/>
  <c r="DW3" i="13"/>
  <c r="DV3" i="13"/>
  <c r="DU3" i="13"/>
  <c r="DT3" i="13"/>
  <c r="DS3" i="13"/>
  <c r="DR3" i="13"/>
  <c r="DQ3" i="13"/>
  <c r="DP3" i="13"/>
  <c r="DO3" i="13"/>
  <c r="DN3" i="13"/>
  <c r="DM3" i="13"/>
  <c r="DL3" i="13"/>
  <c r="DK3" i="13"/>
  <c r="DJ3" i="13"/>
  <c r="DI3" i="13"/>
  <c r="DH3" i="13"/>
  <c r="DG3" i="13"/>
  <c r="DF3" i="13"/>
  <c r="DE3" i="13"/>
  <c r="DD3" i="13"/>
  <c r="DC3" i="13"/>
  <c r="DB3" i="13"/>
  <c r="DA3" i="13"/>
  <c r="CZ3" i="13"/>
  <c r="CY3" i="13"/>
  <c r="CX3" i="13"/>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W3" i="13"/>
  <c r="BV3" i="13"/>
  <c r="BU3" i="13"/>
  <c r="BT3" i="13"/>
  <c r="BS3" i="13"/>
  <c r="BR3" i="13"/>
  <c r="BQ3" i="13"/>
  <c r="BP3" i="13"/>
  <c r="BO3" i="13"/>
  <c r="BN3" i="13"/>
  <c r="BM3" i="13"/>
  <c r="BL3" i="13"/>
  <c r="BK3" i="13"/>
  <c r="BJ3" i="13"/>
  <c r="BI3" i="13"/>
  <c r="BH3" i="13"/>
  <c r="BG3" i="13"/>
  <c r="BF3" i="13"/>
  <c r="BE3" i="13"/>
  <c r="BD3" i="13"/>
  <c r="BC3" i="13"/>
  <c r="BB3" i="13"/>
  <c r="BA3" i="13"/>
  <c r="AZ3" i="13"/>
  <c r="AY3" i="13"/>
  <c r="AX3" i="13"/>
  <c r="AW3" i="13"/>
  <c r="AV3" i="13"/>
  <c r="AU3" i="13"/>
  <c r="AT3" i="13"/>
  <c r="AS3" i="13"/>
  <c r="AR3" i="13"/>
  <c r="AQ3" i="13"/>
  <c r="AP3" i="13"/>
  <c r="AO3" i="13"/>
  <c r="AN3" i="13"/>
  <c r="AM3" i="13"/>
  <c r="AL3" i="13"/>
  <c r="AK3" i="13"/>
  <c r="AJ3" i="13"/>
  <c r="AI3" i="13"/>
  <c r="AH3" i="13"/>
  <c r="AG3" i="13"/>
  <c r="AF3" i="13"/>
  <c r="AD3" i="13"/>
  <c r="AC3" i="13"/>
  <c r="AB3" i="13"/>
  <c r="AA3" i="13"/>
  <c r="Z3" i="13"/>
  <c r="Y3" i="13"/>
  <c r="X3" i="13"/>
  <c r="W3" i="13"/>
  <c r="V3" i="13"/>
  <c r="U3" i="13"/>
  <c r="IM3" i="12"/>
  <c r="IL3" i="12"/>
  <c r="IK3" i="12"/>
  <c r="IJ3" i="12"/>
  <c r="II3" i="12"/>
  <c r="IH3" i="12"/>
  <c r="IG3" i="12"/>
  <c r="IF3" i="12"/>
  <c r="IE3" i="12"/>
  <c r="ID3" i="12"/>
  <c r="IC3" i="12"/>
  <c r="IB3" i="12"/>
  <c r="IA3" i="12"/>
  <c r="HZ3" i="12"/>
  <c r="HY3" i="12"/>
  <c r="HX3" i="12"/>
  <c r="HW3" i="12"/>
  <c r="HV3" i="12"/>
  <c r="HU3" i="12"/>
  <c r="HT3" i="12"/>
  <c r="HS3" i="12"/>
  <c r="HR3" i="12"/>
  <c r="HQ3" i="12"/>
  <c r="HP3" i="12"/>
  <c r="HO3" i="12"/>
  <c r="HN3" i="12"/>
  <c r="HM3" i="12"/>
  <c r="HL3" i="12"/>
  <c r="HK3" i="12"/>
  <c r="HJ3" i="12"/>
  <c r="HI3" i="12"/>
  <c r="HH3" i="12"/>
  <c r="HG3" i="12"/>
  <c r="HF3" i="12"/>
  <c r="HE3" i="12"/>
  <c r="HD3" i="12"/>
  <c r="HC3" i="12"/>
  <c r="HB3" i="12"/>
  <c r="HA3" i="12"/>
  <c r="GZ3" i="12"/>
  <c r="GY3" i="12"/>
  <c r="GX3" i="12"/>
  <c r="GW3" i="12"/>
  <c r="GV3" i="12"/>
  <c r="GU3" i="12"/>
  <c r="GT3" i="12"/>
  <c r="GS3" i="12"/>
  <c r="GR3" i="12"/>
  <c r="GQ3" i="12"/>
  <c r="GP3" i="12"/>
  <c r="GO3" i="12"/>
  <c r="GN3" i="12"/>
  <c r="GM3" i="12"/>
  <c r="GL3" i="12"/>
  <c r="GK3" i="12"/>
  <c r="GJ3" i="12"/>
  <c r="GI3" i="12"/>
  <c r="GH3" i="12"/>
  <c r="GG3" i="12"/>
  <c r="GF3" i="12"/>
  <c r="GE3" i="12"/>
  <c r="GD3" i="12"/>
  <c r="GC3" i="12"/>
  <c r="GB3" i="12"/>
  <c r="GA3" i="12"/>
  <c r="FZ3" i="12"/>
  <c r="FY3" i="12"/>
  <c r="FX3" i="12"/>
  <c r="FW3" i="12"/>
  <c r="FV3" i="12"/>
  <c r="FU3" i="12"/>
  <c r="FT3" i="12"/>
  <c r="FS3" i="12"/>
  <c r="FR3" i="12"/>
  <c r="FQ3" i="12"/>
  <c r="FP3" i="12"/>
  <c r="FO3" i="12"/>
  <c r="FN3" i="12"/>
  <c r="FM3" i="12"/>
  <c r="FL3" i="12"/>
  <c r="FK3" i="12"/>
  <c r="FJ3" i="12"/>
  <c r="FI3" i="12"/>
  <c r="FH3" i="12"/>
  <c r="FG3" i="12"/>
  <c r="FF3" i="12"/>
  <c r="FE3" i="12"/>
  <c r="FD3" i="12"/>
  <c r="FC3" i="12"/>
  <c r="FB3" i="12"/>
  <c r="FA3" i="12"/>
  <c r="EZ3" i="12"/>
  <c r="EY3" i="12"/>
  <c r="EX3" i="12"/>
  <c r="EW3" i="12"/>
  <c r="EV3" i="12"/>
  <c r="EU3" i="12"/>
  <c r="ET3" i="12"/>
  <c r="ES3" i="12"/>
  <c r="ER3" i="12"/>
  <c r="EQ3" i="12"/>
  <c r="EP3" i="12"/>
  <c r="EO3" i="12"/>
  <c r="EN3" i="12"/>
  <c r="EM3" i="12"/>
  <c r="EL3" i="12"/>
  <c r="EK3" i="12"/>
  <c r="EJ3" i="12"/>
  <c r="EI3" i="12"/>
  <c r="EH3" i="12"/>
  <c r="EG3" i="12"/>
  <c r="EF3" i="12"/>
  <c r="EE3" i="12"/>
  <c r="ED3" i="12"/>
  <c r="EC3" i="12"/>
  <c r="EB3" i="12"/>
  <c r="EA3" i="12"/>
  <c r="DZ3" i="12"/>
  <c r="DY3" i="12"/>
  <c r="DX3" i="12"/>
  <c r="DW3" i="12"/>
  <c r="DV3" i="12"/>
  <c r="DU3" i="12"/>
  <c r="DT3" i="12"/>
  <c r="DS3" i="12"/>
  <c r="DR3" i="12"/>
  <c r="DQ3" i="12"/>
  <c r="DP3" i="12"/>
  <c r="DO3" i="12"/>
  <c r="DN3" i="12"/>
  <c r="DM3" i="12"/>
  <c r="DL3" i="12"/>
  <c r="DK3" i="12"/>
  <c r="DJ3" i="12"/>
  <c r="DI3" i="12"/>
  <c r="DH3" i="12"/>
  <c r="DG3" i="12"/>
  <c r="DF3" i="12"/>
  <c r="DE3" i="12"/>
  <c r="DD3" i="12"/>
  <c r="DC3" i="12"/>
  <c r="DB3" i="12"/>
  <c r="DA3" i="12"/>
  <c r="CZ3" i="12"/>
  <c r="CY3" i="12"/>
  <c r="CX3" i="12"/>
  <c r="CW3" i="12"/>
  <c r="CV3" i="12"/>
  <c r="CU3" i="12"/>
  <c r="CT3" i="12"/>
  <c r="CS3" i="12"/>
  <c r="CR3" i="12"/>
  <c r="CQ3" i="12"/>
  <c r="CP3" i="12"/>
  <c r="CO3" i="12"/>
  <c r="CN3" i="12"/>
  <c r="CM3" i="12"/>
  <c r="CL3" i="12"/>
  <c r="CK3" i="12"/>
  <c r="CJ3" i="12"/>
  <c r="CI3" i="12"/>
  <c r="CH3" i="12"/>
  <c r="CG3" i="12"/>
  <c r="CF3" i="12"/>
  <c r="CE3" i="12"/>
  <c r="CD3" i="12"/>
  <c r="CC3" i="12"/>
  <c r="CB3" i="12"/>
  <c r="CA3" i="12"/>
  <c r="BZ3" i="12"/>
  <c r="BY3" i="12"/>
  <c r="BX3" i="12"/>
  <c r="BW3" i="12"/>
  <c r="BV3" i="12"/>
  <c r="BU3" i="12"/>
  <c r="BT3" i="12"/>
  <c r="BS3" i="12"/>
  <c r="BR3" i="12"/>
  <c r="BQ3" i="12"/>
  <c r="BP3" i="12"/>
  <c r="BO3" i="12"/>
  <c r="BN3" i="12"/>
  <c r="BM3" i="12"/>
  <c r="BL3" i="12"/>
  <c r="BK3" i="12"/>
  <c r="BJ3" i="12"/>
  <c r="BI3" i="12"/>
  <c r="BH3" i="12"/>
  <c r="BG3" i="12"/>
  <c r="BF3" i="12"/>
  <c r="BE3" i="12"/>
  <c r="BD3" i="12"/>
  <c r="BC3" i="12"/>
  <c r="BB3"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IO3" i="11"/>
  <c r="IN3" i="11"/>
  <c r="IM3" i="11"/>
  <c r="IL3" i="11"/>
  <c r="IK3" i="11"/>
  <c r="IJ3" i="11"/>
  <c r="II3" i="11"/>
  <c r="IH3" i="11"/>
  <c r="IG3" i="11"/>
  <c r="IF3" i="11"/>
  <c r="IE3" i="11"/>
  <c r="ID3" i="11"/>
  <c r="IC3" i="11"/>
  <c r="IB3" i="11"/>
  <c r="IA3" i="11"/>
  <c r="HZ3" i="11"/>
  <c r="HY3" i="11"/>
  <c r="HX3" i="11"/>
  <c r="HW3" i="11"/>
  <c r="HV3" i="11"/>
  <c r="HU3" i="11"/>
  <c r="HT3" i="11"/>
  <c r="HS3" i="11"/>
  <c r="HR3" i="11"/>
  <c r="HQ3" i="11"/>
  <c r="HP3" i="11"/>
  <c r="HO3" i="11"/>
  <c r="HN3" i="11"/>
  <c r="HM3" i="11"/>
  <c r="HL3" i="11"/>
  <c r="HK3" i="11"/>
  <c r="HJ3" i="11"/>
  <c r="HI3" i="11"/>
  <c r="HH3" i="11"/>
  <c r="HG3" i="11"/>
  <c r="HF3" i="11"/>
  <c r="HE3" i="11"/>
  <c r="HD3" i="11"/>
  <c r="HC3" i="11"/>
  <c r="HB3" i="11"/>
  <c r="HA3" i="11"/>
  <c r="GZ3" i="11"/>
  <c r="GY3" i="11"/>
  <c r="GX3" i="11"/>
  <c r="GW3" i="11"/>
  <c r="GV3" i="11"/>
  <c r="GU3" i="11"/>
  <c r="GT3" i="11"/>
  <c r="GS3" i="11"/>
  <c r="GR3" i="11"/>
  <c r="GQ3" i="11"/>
  <c r="GP3" i="11"/>
  <c r="GO3" i="11"/>
  <c r="GN3" i="11"/>
  <c r="GM3" i="11"/>
  <c r="GL3" i="11"/>
  <c r="GK3" i="11"/>
  <c r="GJ3" i="11"/>
  <c r="GI3" i="11"/>
  <c r="GH3" i="11"/>
  <c r="GG3" i="11"/>
  <c r="GF3" i="11"/>
  <c r="GE3" i="11"/>
  <c r="GD3" i="11"/>
  <c r="GC3" i="11"/>
  <c r="GB3" i="11"/>
  <c r="GA3" i="11"/>
  <c r="FZ3" i="11"/>
  <c r="FY3" i="11"/>
  <c r="FX3" i="11"/>
  <c r="FW3" i="11"/>
  <c r="FV3" i="11"/>
  <c r="FU3" i="11"/>
  <c r="FT3" i="11"/>
  <c r="FS3" i="11"/>
  <c r="FR3" i="11"/>
  <c r="FQ3" i="11"/>
  <c r="FP3" i="11"/>
  <c r="FO3" i="11"/>
  <c r="FN3" i="11"/>
  <c r="FM3" i="11"/>
  <c r="FL3" i="11"/>
  <c r="FK3" i="11"/>
  <c r="FJ3" i="11"/>
  <c r="FI3" i="11"/>
  <c r="FH3" i="11"/>
  <c r="FG3" i="11"/>
  <c r="FF3" i="11"/>
  <c r="FE3" i="11"/>
  <c r="FD3" i="11"/>
  <c r="FC3" i="11"/>
  <c r="FB3" i="11"/>
  <c r="FA3" i="11"/>
  <c r="EZ3" i="11"/>
  <c r="EY3" i="11"/>
  <c r="EX3" i="11"/>
  <c r="EW3" i="11"/>
  <c r="EV3" i="11"/>
  <c r="EU3" i="11"/>
  <c r="ET3" i="11"/>
  <c r="ES3" i="11"/>
  <c r="ER3" i="11"/>
  <c r="EQ3" i="11"/>
  <c r="EP3" i="11"/>
  <c r="EO3" i="11"/>
  <c r="EN3" i="11"/>
  <c r="EM3" i="11"/>
  <c r="EL3" i="11"/>
  <c r="EK3" i="11"/>
  <c r="EJ3" i="11"/>
  <c r="EI3" i="11"/>
  <c r="EH3" i="11"/>
  <c r="EG3" i="11"/>
  <c r="EF3" i="11"/>
  <c r="EE3" i="11"/>
  <c r="ED3" i="11"/>
  <c r="EC3" i="11"/>
  <c r="EB3" i="11"/>
  <c r="EA3" i="11"/>
  <c r="DZ3" i="11"/>
  <c r="DY3" i="11"/>
  <c r="DX3" i="11"/>
  <c r="DW3" i="11"/>
  <c r="DV3" i="11"/>
  <c r="DU3" i="11"/>
  <c r="DT3" i="11"/>
  <c r="DS3" i="11"/>
  <c r="DR3" i="11"/>
  <c r="DQ3" i="11"/>
  <c r="DP3" i="11"/>
  <c r="DO3" i="11"/>
  <c r="DN3" i="11"/>
  <c r="DM3" i="11"/>
  <c r="DL3" i="11"/>
  <c r="DK3" i="11"/>
  <c r="DJ3" i="11"/>
  <c r="DI3" i="11"/>
  <c r="DH3" i="11"/>
  <c r="DG3" i="11"/>
  <c r="DF3" i="11"/>
  <c r="DE3" i="11"/>
  <c r="DD3" i="11"/>
  <c r="DC3" i="11"/>
  <c r="DB3" i="11"/>
  <c r="DA3" i="11"/>
  <c r="CZ3" i="11"/>
  <c r="CY3" i="11"/>
  <c r="CX3" i="11"/>
  <c r="CW3" i="11"/>
  <c r="CV3" i="11"/>
  <c r="CU3" i="11"/>
  <c r="CT3" i="11"/>
  <c r="CS3" i="11"/>
  <c r="CR3" i="11"/>
  <c r="CQ3" i="11"/>
  <c r="CP3" i="11"/>
  <c r="CO3" i="11"/>
  <c r="CN3" i="11"/>
  <c r="CM3" i="11"/>
  <c r="CL3" i="11"/>
  <c r="CK3" i="11"/>
  <c r="CJ3" i="11"/>
  <c r="CI3" i="11"/>
  <c r="CH3" i="11"/>
  <c r="CG3" i="11"/>
  <c r="CF3" i="11"/>
  <c r="CE3" i="11"/>
  <c r="CD3" i="11"/>
  <c r="CC3" i="11"/>
  <c r="CB3" i="11"/>
  <c r="CA3" i="11"/>
  <c r="BZ3" i="11"/>
  <c r="BY3" i="11"/>
  <c r="BX3" i="11"/>
  <c r="BW3" i="11"/>
  <c r="BV3" i="11"/>
  <c r="BU3" i="11"/>
  <c r="BT3" i="11"/>
  <c r="BS3" i="11"/>
  <c r="BR3" i="11"/>
  <c r="BQ3" i="11"/>
  <c r="BP3" i="11"/>
  <c r="BO3" i="11"/>
  <c r="BN3" i="11"/>
  <c r="BM3" i="11"/>
  <c r="BL3" i="11"/>
  <c r="BK3" i="11"/>
  <c r="BJ3" i="11"/>
  <c r="BI3" i="11"/>
  <c r="BH3" i="11"/>
  <c r="BG3" i="11"/>
  <c r="BF3" i="11"/>
  <c r="BE3" i="11"/>
  <c r="BD3" i="11"/>
  <c r="BC3" i="11"/>
  <c r="BB3" i="11"/>
  <c r="BA3" i="11"/>
  <c r="AZ3" i="11"/>
  <c r="AY3" i="11"/>
  <c r="AX3" i="11"/>
  <c r="AW3" i="11"/>
  <c r="AV3" i="11"/>
  <c r="AU3" i="11"/>
  <c r="AT3" i="11"/>
  <c r="AS3" i="11"/>
  <c r="AR3" i="11"/>
  <c r="AQ3" i="11"/>
  <c r="AP3" i="11"/>
  <c r="AO3" i="11"/>
  <c r="AN3" i="11"/>
  <c r="AM3" i="11"/>
  <c r="AL3" i="11"/>
  <c r="AK3" i="11"/>
  <c r="AJ3" i="11"/>
  <c r="AI3" i="11"/>
  <c r="AH3" i="11"/>
  <c r="AG3" i="11"/>
  <c r="AF3" i="11"/>
  <c r="AE3" i="11"/>
  <c r="AD3" i="11"/>
  <c r="AC3" i="11"/>
  <c r="AB3" i="11"/>
  <c r="AA3" i="11"/>
  <c r="Z3" i="11"/>
  <c r="Y3" i="11"/>
  <c r="X3" i="11"/>
  <c r="W3" i="11"/>
  <c r="V3" i="11"/>
  <c r="U3" i="11"/>
  <c r="T3" i="11"/>
  <c r="S3" i="11"/>
  <c r="R3" i="11"/>
  <c r="Q3" i="11"/>
  <c r="P3" i="11"/>
  <c r="O3" i="11"/>
  <c r="IO3" i="10"/>
  <c r="IN3" i="10"/>
  <c r="IM3" i="10"/>
  <c r="IL3" i="10"/>
  <c r="IK3" i="10"/>
  <c r="IJ3" i="10"/>
  <c r="II3" i="10"/>
  <c r="IH3" i="10"/>
  <c r="IG3" i="10"/>
  <c r="IF3" i="10"/>
  <c r="IE3" i="10"/>
  <c r="ID3" i="10"/>
  <c r="IC3" i="10"/>
  <c r="IB3" i="10"/>
  <c r="IA3" i="10"/>
  <c r="HZ3" i="10"/>
  <c r="HY3" i="10"/>
  <c r="HX3" i="10"/>
  <c r="HW3" i="10"/>
  <c r="HV3" i="10"/>
  <c r="HU3" i="10"/>
  <c r="HT3" i="10"/>
  <c r="HS3" i="10"/>
  <c r="HR3" i="10"/>
  <c r="HQ3" i="10"/>
  <c r="HP3" i="10"/>
  <c r="HO3" i="10"/>
  <c r="HN3" i="10"/>
  <c r="HM3" i="10"/>
  <c r="HL3" i="10"/>
  <c r="HK3" i="10"/>
  <c r="HJ3" i="10"/>
  <c r="HI3" i="10"/>
  <c r="HH3" i="10"/>
  <c r="HG3" i="10"/>
  <c r="HF3" i="10"/>
  <c r="HE3" i="10"/>
  <c r="HD3" i="10"/>
  <c r="HC3" i="10"/>
  <c r="HB3" i="10"/>
  <c r="HA3" i="10"/>
  <c r="GZ3" i="10"/>
  <c r="GY3" i="10"/>
  <c r="GX3" i="10"/>
  <c r="GW3" i="10"/>
  <c r="GV3" i="10"/>
  <c r="GU3" i="10"/>
  <c r="GT3" i="10"/>
  <c r="GS3" i="10"/>
  <c r="GR3" i="10"/>
  <c r="GQ3" i="10"/>
  <c r="GP3" i="10"/>
  <c r="GO3" i="10"/>
  <c r="GN3" i="10"/>
  <c r="GM3" i="10"/>
  <c r="GL3" i="10"/>
  <c r="GK3" i="10"/>
  <c r="GJ3" i="10"/>
  <c r="GI3" i="10"/>
  <c r="GH3" i="10"/>
  <c r="GG3" i="10"/>
  <c r="GF3" i="10"/>
  <c r="GE3" i="10"/>
  <c r="GD3" i="10"/>
  <c r="GC3" i="10"/>
  <c r="GB3" i="10"/>
  <c r="GA3" i="10"/>
  <c r="FZ3" i="10"/>
  <c r="FY3" i="10"/>
  <c r="FX3" i="10"/>
  <c r="FW3" i="10"/>
  <c r="FV3" i="10"/>
  <c r="FU3" i="10"/>
  <c r="FT3" i="10"/>
  <c r="FS3" i="10"/>
  <c r="FR3" i="10"/>
  <c r="FQ3" i="10"/>
  <c r="FP3" i="10"/>
  <c r="FO3" i="10"/>
  <c r="FN3" i="10"/>
  <c r="FM3" i="10"/>
  <c r="FL3" i="10"/>
  <c r="FK3" i="10"/>
  <c r="FJ3" i="10"/>
  <c r="FI3" i="10"/>
  <c r="FH3" i="10"/>
  <c r="FG3" i="10"/>
  <c r="FF3" i="10"/>
  <c r="FE3" i="10"/>
  <c r="FD3" i="10"/>
  <c r="FC3" i="10"/>
  <c r="FB3" i="10"/>
  <c r="FA3" i="10"/>
  <c r="EZ3" i="10"/>
  <c r="EY3" i="10"/>
  <c r="EX3" i="10"/>
  <c r="EW3" i="10"/>
  <c r="EV3" i="10"/>
  <c r="EU3" i="10"/>
  <c r="ET3" i="10"/>
  <c r="ES3" i="10"/>
  <c r="ER3" i="10"/>
  <c r="EQ3" i="10"/>
  <c r="EP3" i="10"/>
  <c r="EO3" i="10"/>
  <c r="EN3" i="10"/>
  <c r="EM3" i="10"/>
  <c r="EL3" i="10"/>
  <c r="EK3" i="10"/>
  <c r="EJ3" i="10"/>
  <c r="EI3" i="10"/>
  <c r="EH3" i="10"/>
  <c r="EG3" i="10"/>
  <c r="EF3" i="10"/>
  <c r="EE3" i="10"/>
  <c r="ED3" i="10"/>
  <c r="EC3" i="10"/>
  <c r="EB3" i="10"/>
  <c r="EA3" i="10"/>
  <c r="DZ3" i="10"/>
  <c r="DY3" i="10"/>
  <c r="DX3" i="10"/>
  <c r="DW3" i="10"/>
  <c r="DV3" i="10"/>
  <c r="DU3" i="10"/>
  <c r="DT3" i="10"/>
  <c r="DS3" i="10"/>
  <c r="DR3" i="10"/>
  <c r="DQ3" i="10"/>
  <c r="DP3" i="10"/>
  <c r="DO3" i="10"/>
  <c r="DN3" i="10"/>
  <c r="DM3" i="10"/>
  <c r="DL3" i="10"/>
  <c r="DK3" i="10"/>
  <c r="DJ3" i="10"/>
  <c r="DI3" i="10"/>
  <c r="DH3" i="10"/>
  <c r="DG3" i="10"/>
  <c r="DF3" i="10"/>
  <c r="DE3" i="10"/>
  <c r="DD3" i="10"/>
  <c r="DC3" i="10"/>
  <c r="DB3" i="10"/>
  <c r="DA3" i="10"/>
  <c r="CZ3" i="10"/>
  <c r="CY3" i="10"/>
  <c r="CX3" i="10"/>
  <c r="CW3" i="10"/>
  <c r="CV3" i="10"/>
  <c r="CU3" i="10"/>
  <c r="CT3" i="10"/>
  <c r="CS3" i="10"/>
  <c r="CR3" i="10"/>
  <c r="CQ3" i="10"/>
  <c r="CP3" i="10"/>
  <c r="CO3" i="10"/>
  <c r="CN3" i="10"/>
  <c r="CM3" i="10"/>
  <c r="CL3" i="10"/>
  <c r="CK3" i="10"/>
  <c r="CJ3" i="10"/>
  <c r="CI3" i="10"/>
  <c r="CH3" i="10"/>
  <c r="CG3" i="10"/>
  <c r="CF3" i="10"/>
  <c r="CE3" i="10"/>
  <c r="CD3" i="10"/>
  <c r="CC3" i="10"/>
  <c r="CB3" i="10"/>
  <c r="CA3" i="10"/>
  <c r="BZ3" i="10"/>
  <c r="BY3" i="10"/>
  <c r="BX3" i="10"/>
  <c r="BW3" i="10"/>
  <c r="BV3" i="10"/>
  <c r="BU3" i="10"/>
  <c r="BT3" i="10"/>
  <c r="BS3" i="10"/>
  <c r="BR3" i="10"/>
  <c r="BQ3" i="10"/>
  <c r="BP3" i="10"/>
  <c r="BO3" i="10"/>
  <c r="BN3" i="10"/>
  <c r="BM3" i="10"/>
  <c r="BL3" i="10"/>
  <c r="BK3" i="10"/>
  <c r="BJ3" i="10"/>
  <c r="BI3" i="10"/>
  <c r="BH3" i="10"/>
  <c r="BG3" i="10"/>
  <c r="BF3" i="10"/>
  <c r="BE3" i="10"/>
  <c r="BD3" i="10"/>
  <c r="BC3" i="10"/>
  <c r="BB3" i="10"/>
  <c r="BA3" i="10"/>
  <c r="AZ3" i="10"/>
  <c r="AY3" i="10"/>
  <c r="AX3" i="10"/>
  <c r="AW3" i="10"/>
  <c r="AV3" i="10"/>
  <c r="AU3" i="10"/>
  <c r="AT3" i="10"/>
  <c r="AS3" i="10"/>
  <c r="AR3" i="10"/>
  <c r="AQ3" i="10"/>
  <c r="AP3" i="10"/>
  <c r="AO3" i="10"/>
  <c r="AN3" i="10"/>
  <c r="AM3" i="10"/>
  <c r="AL3" i="10"/>
  <c r="AK3" i="10"/>
  <c r="AJ3" i="10"/>
  <c r="AI3" i="10"/>
  <c r="AH3" i="10"/>
  <c r="AG3" i="10"/>
  <c r="AF3" i="10"/>
  <c r="AE3" i="10"/>
  <c r="AD3" i="10"/>
  <c r="AC3" i="10"/>
  <c r="AB3" i="10"/>
  <c r="AA3" i="10"/>
  <c r="Z3" i="10"/>
  <c r="Y3" i="10"/>
  <c r="X3" i="10"/>
  <c r="W3" i="10"/>
  <c r="V3" i="10"/>
  <c r="U3" i="10"/>
  <c r="S3" i="10"/>
  <c r="R3" i="10"/>
  <c r="Q3" i="10"/>
  <c r="P3" i="10"/>
  <c r="O3" i="10"/>
  <c r="T3" i="10"/>
  <c r="HW3" i="9"/>
  <c r="HV3" i="9"/>
  <c r="HU3" i="9"/>
  <c r="HT3" i="9"/>
  <c r="HS3" i="9"/>
  <c r="HR3" i="9"/>
  <c r="HQ3" i="9"/>
  <c r="HP3" i="9"/>
  <c r="HO3" i="9"/>
  <c r="HN3" i="9"/>
  <c r="HM3" i="9"/>
  <c r="HL3" i="9"/>
  <c r="HK3" i="9"/>
  <c r="HJ3" i="9"/>
  <c r="HI3" i="9"/>
  <c r="HH3" i="9"/>
  <c r="HG3" i="9"/>
  <c r="HF3" i="9"/>
  <c r="HE3" i="9"/>
  <c r="HD3" i="9"/>
  <c r="HC3" i="9"/>
  <c r="HB3" i="9"/>
  <c r="HA3" i="9"/>
  <c r="GZ3" i="9"/>
  <c r="GY3" i="9"/>
  <c r="GX3" i="9"/>
  <c r="GW3" i="9"/>
  <c r="GV3" i="9"/>
  <c r="GU3" i="9"/>
  <c r="GT3" i="9"/>
  <c r="GS3" i="9"/>
  <c r="GR3" i="9"/>
  <c r="GQ3" i="9"/>
  <c r="GP3" i="9"/>
  <c r="GO3" i="9"/>
  <c r="GN3" i="9"/>
  <c r="GM3" i="9"/>
  <c r="GL3" i="9"/>
  <c r="GK3" i="9"/>
  <c r="GJ3" i="9"/>
  <c r="GI3" i="9"/>
  <c r="GH3" i="9"/>
  <c r="GG3" i="9"/>
  <c r="GF3" i="9"/>
  <c r="GE3" i="9"/>
  <c r="GD3" i="9"/>
  <c r="GC3" i="9"/>
  <c r="GB3" i="9"/>
  <c r="GA3" i="9"/>
  <c r="FZ3" i="9"/>
  <c r="FY3" i="9"/>
  <c r="FX3" i="9"/>
  <c r="FW3" i="9"/>
  <c r="FV3" i="9"/>
  <c r="FU3" i="9"/>
  <c r="FT3" i="9"/>
  <c r="FS3" i="9"/>
  <c r="FR3" i="9"/>
  <c r="FQ3" i="9"/>
  <c r="FP3" i="9"/>
  <c r="FO3" i="9"/>
  <c r="FN3" i="9"/>
  <c r="FM3" i="9"/>
  <c r="FL3" i="9"/>
  <c r="FK3" i="9"/>
  <c r="FJ3" i="9"/>
  <c r="FI3" i="9"/>
  <c r="FH3" i="9"/>
  <c r="FG3" i="9"/>
  <c r="FF3" i="9"/>
  <c r="FE3" i="9"/>
  <c r="FD3" i="9"/>
  <c r="FC3" i="9"/>
  <c r="FB3" i="9"/>
  <c r="FA3" i="9"/>
  <c r="EZ3" i="9"/>
  <c r="EY3" i="9"/>
  <c r="EX3" i="9"/>
  <c r="EW3" i="9"/>
  <c r="EV3" i="9"/>
  <c r="EU3" i="9"/>
  <c r="ET3" i="9"/>
  <c r="ES3" i="9"/>
  <c r="ER3" i="9"/>
  <c r="EQ3" i="9"/>
  <c r="EP3" i="9"/>
  <c r="EO3" i="9"/>
  <c r="EN3" i="9"/>
  <c r="EM3" i="9"/>
  <c r="EL3" i="9"/>
  <c r="EK3" i="9"/>
  <c r="EJ3" i="9"/>
  <c r="EI3" i="9"/>
  <c r="EH3" i="9"/>
  <c r="EG3" i="9"/>
  <c r="EF3" i="9"/>
  <c r="EE3" i="9"/>
  <c r="ED3" i="9"/>
  <c r="EC3" i="9"/>
  <c r="EB3" i="9"/>
  <c r="EA3" i="9"/>
  <c r="DZ3" i="9"/>
  <c r="DY3" i="9"/>
  <c r="DX3" i="9"/>
  <c r="DW3" i="9"/>
  <c r="DV3" i="9"/>
  <c r="DU3" i="9"/>
  <c r="DT3" i="9"/>
  <c r="DS3" i="9"/>
  <c r="DR3" i="9"/>
  <c r="DQ3" i="9"/>
  <c r="DP3" i="9"/>
  <c r="DO3" i="9"/>
  <c r="DN3" i="9"/>
  <c r="DM3" i="9"/>
  <c r="DL3" i="9"/>
  <c r="DK3" i="9"/>
  <c r="DJ3" i="9"/>
  <c r="DI3" i="9"/>
  <c r="DH3" i="9"/>
  <c r="DG3" i="9"/>
  <c r="DF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HS3" i="8"/>
  <c r="HR3" i="8"/>
  <c r="HQ3" i="8"/>
  <c r="HP3" i="8"/>
  <c r="HO3" i="8"/>
  <c r="HN3" i="8"/>
  <c r="HM3" i="8"/>
  <c r="HL3" i="8"/>
  <c r="HK3" i="8"/>
  <c r="HJ3" i="8"/>
  <c r="HI3" i="8"/>
  <c r="HH3" i="8"/>
  <c r="HG3" i="8"/>
  <c r="HF3" i="8"/>
  <c r="HE3" i="8"/>
  <c r="HD3" i="8"/>
  <c r="HC3" i="8"/>
  <c r="HB3" i="8"/>
  <c r="HA3" i="8"/>
  <c r="GZ3" i="8"/>
  <c r="GY3" i="8"/>
  <c r="GX3" i="8"/>
  <c r="GW3" i="8"/>
  <c r="GV3" i="8"/>
  <c r="GU3" i="8"/>
  <c r="GT3" i="8"/>
  <c r="GS3" i="8"/>
  <c r="GR3" i="8"/>
  <c r="GQ3" i="8"/>
  <c r="GP3" i="8"/>
  <c r="GO3" i="8"/>
  <c r="GN3" i="8"/>
  <c r="GM3" i="8"/>
  <c r="GL3" i="8"/>
  <c r="GK3" i="8"/>
  <c r="GJ3" i="8"/>
  <c r="GI3" i="8"/>
  <c r="GH3" i="8"/>
  <c r="GG3" i="8"/>
  <c r="GF3" i="8"/>
  <c r="GE3" i="8"/>
  <c r="GD3" i="8"/>
  <c r="GC3" i="8"/>
  <c r="GB3" i="8"/>
  <c r="GA3" i="8"/>
  <c r="FZ3" i="8"/>
  <c r="FY3" i="8"/>
  <c r="FX3" i="8"/>
  <c r="FW3" i="8"/>
  <c r="FV3" i="8"/>
  <c r="FU3" i="8"/>
  <c r="FT3" i="8"/>
  <c r="FS3" i="8"/>
  <c r="FR3" i="8"/>
  <c r="FQ3" i="8"/>
  <c r="FP3" i="8"/>
  <c r="FO3" i="8"/>
  <c r="FN3" i="8"/>
  <c r="FM3" i="8"/>
  <c r="FL3" i="8"/>
  <c r="FK3" i="8"/>
  <c r="FJ3" i="8"/>
  <c r="FH3" i="8"/>
  <c r="FG3" i="8"/>
  <c r="FE3" i="8"/>
  <c r="FD3" i="8"/>
  <c r="FC3" i="8"/>
  <c r="FB3" i="8"/>
  <c r="FA3" i="8"/>
  <c r="EZ3" i="8"/>
  <c r="EY3" i="8"/>
  <c r="EX3" i="8"/>
  <c r="EW3" i="8"/>
  <c r="EV3" i="8"/>
  <c r="EU3" i="8"/>
  <c r="ET3" i="8"/>
  <c r="EQ3" i="8"/>
  <c r="EP3" i="8"/>
  <c r="EO3" i="8"/>
  <c r="EN3" i="8"/>
  <c r="EM3" i="8"/>
  <c r="EL3" i="8"/>
  <c r="EK3" i="8"/>
  <c r="EJ3" i="8"/>
  <c r="EI3" i="8"/>
  <c r="EH3" i="8"/>
  <c r="EG3" i="8"/>
  <c r="EF3" i="8"/>
  <c r="EE3" i="8"/>
  <c r="ED3" i="8"/>
  <c r="EC3" i="8"/>
  <c r="EB3" i="8"/>
  <c r="EA3" i="8"/>
  <c r="DZ3" i="8"/>
  <c r="DY3" i="8"/>
  <c r="DX3" i="8"/>
  <c r="DW3" i="8"/>
  <c r="DV3" i="8"/>
  <c r="DU3" i="8"/>
  <c r="DT3" i="8"/>
  <c r="DS3" i="8"/>
  <c r="DR3" i="8"/>
  <c r="DQ3" i="8"/>
  <c r="DP3" i="8"/>
  <c r="DO3" i="8"/>
  <c r="DN3" i="8"/>
  <c r="DM3" i="8"/>
  <c r="DL3" i="8"/>
  <c r="DK3" i="8"/>
  <c r="DJ3" i="8"/>
  <c r="DI3" i="8"/>
  <c r="DH3" i="8"/>
  <c r="DG3" i="8"/>
  <c r="DF3" i="8"/>
  <c r="DE3" i="8"/>
  <c r="DD3" i="8"/>
  <c r="DC3" i="8"/>
  <c r="DB3" i="8"/>
  <c r="DA3" i="8"/>
  <c r="CZ3" i="8"/>
  <c r="CY3" i="8"/>
  <c r="CX3" i="8"/>
  <c r="CW3" i="8"/>
  <c r="CV3" i="8"/>
  <c r="CU3" i="8"/>
  <c r="CT3" i="8"/>
  <c r="CS3" i="8"/>
  <c r="CR3" i="8"/>
  <c r="CQ3" i="8"/>
  <c r="CP3" i="8"/>
  <c r="CO3" i="8"/>
  <c r="CN3" i="8"/>
  <c r="CM3" i="8"/>
  <c r="CK3" i="8"/>
  <c r="CJ3" i="8"/>
  <c r="CI3" i="8"/>
  <c r="CH3" i="8"/>
  <c r="CG3" i="8"/>
  <c r="CF3" i="8"/>
  <c r="CE3" i="8"/>
  <c r="CD3" i="8"/>
  <c r="CC3" i="8"/>
  <c r="CB3" i="8"/>
  <c r="CA3" i="8"/>
  <c r="BZ3" i="8"/>
  <c r="BY3" i="8"/>
  <c r="BX3" i="8"/>
  <c r="BW3" i="8"/>
  <c r="BV3" i="8"/>
  <c r="BU3" i="8"/>
  <c r="BT3" i="8"/>
  <c r="BS3" i="8"/>
  <c r="BR3" i="8"/>
  <c r="BQ3" i="8"/>
  <c r="BP3" i="8"/>
  <c r="BO3" i="8"/>
  <c r="BN3" i="8"/>
  <c r="BM3" i="8"/>
  <c r="BK3" i="8"/>
  <c r="BJ3" i="8"/>
  <c r="BH3" i="8"/>
  <c r="BF3" i="8"/>
  <c r="BB3" i="8"/>
  <c r="BA3" i="8"/>
  <c r="AZ3" i="8"/>
  <c r="AY3" i="8"/>
  <c r="AV3" i="8"/>
  <c r="AU3" i="8"/>
  <c r="AT3" i="8"/>
  <c r="AS3" i="8"/>
  <c r="AR3" i="8"/>
  <c r="AQ3" i="8"/>
  <c r="AP3" i="8"/>
  <c r="AN3" i="8"/>
  <c r="AM3" i="8"/>
  <c r="AL3" i="8"/>
  <c r="AK3" i="8"/>
  <c r="AJ3" i="8"/>
  <c r="AI3" i="8"/>
  <c r="AH3" i="8"/>
  <c r="AG3" i="8"/>
  <c r="AF3" i="8"/>
  <c r="AD3" i="8"/>
  <c r="AC3" i="8"/>
  <c r="AB3" i="8"/>
  <c r="Z3" i="8"/>
  <c r="Y3" i="8"/>
  <c r="W3" i="8"/>
  <c r="V3" i="8"/>
  <c r="U3" i="8"/>
  <c r="T3" i="8"/>
  <c r="S3" i="8"/>
  <c r="R3" i="8"/>
  <c r="P3" i="8"/>
  <c r="O3" i="8"/>
  <c r="HS3" i="7"/>
  <c r="HR3" i="7"/>
  <c r="HQ3" i="7"/>
  <c r="HP3" i="7"/>
  <c r="HO3" i="7"/>
  <c r="HN3" i="7"/>
  <c r="HM3" i="7"/>
  <c r="HL3" i="7"/>
  <c r="HK3" i="7"/>
  <c r="HJ3" i="7"/>
  <c r="HI3" i="7"/>
  <c r="HH3" i="7"/>
  <c r="HG3" i="7"/>
  <c r="HF3" i="7"/>
  <c r="HE3" i="7"/>
  <c r="HD3" i="7"/>
  <c r="HC3" i="7"/>
  <c r="HB3" i="7"/>
  <c r="HA3" i="7"/>
  <c r="GZ3" i="7"/>
  <c r="GY3" i="7"/>
  <c r="GX3" i="7"/>
  <c r="GW3" i="7"/>
  <c r="GV3" i="7"/>
  <c r="GU3" i="7"/>
  <c r="GT3" i="7"/>
  <c r="GS3" i="7"/>
  <c r="GR3" i="7"/>
  <c r="GQ3" i="7"/>
  <c r="GP3" i="7"/>
  <c r="GO3" i="7"/>
  <c r="GN3" i="7"/>
  <c r="GM3" i="7"/>
  <c r="GL3" i="7"/>
  <c r="GK3" i="7"/>
  <c r="GJ3" i="7"/>
  <c r="GI3" i="7"/>
  <c r="GH3" i="7"/>
  <c r="GG3" i="7"/>
  <c r="GF3" i="7"/>
  <c r="GE3" i="7"/>
  <c r="GD3" i="7"/>
  <c r="GC3" i="7"/>
  <c r="GB3" i="7"/>
  <c r="GA3" i="7"/>
  <c r="FZ3" i="7"/>
  <c r="FY3" i="7"/>
  <c r="FX3" i="7"/>
  <c r="FW3" i="7"/>
  <c r="FV3" i="7"/>
  <c r="FU3" i="7"/>
  <c r="FT3" i="7"/>
  <c r="FS3" i="7"/>
  <c r="FR3" i="7"/>
  <c r="FQ3" i="7"/>
  <c r="FP3" i="7"/>
  <c r="FO3" i="7"/>
  <c r="FN3" i="7"/>
  <c r="FM3" i="7"/>
  <c r="FL3" i="7"/>
  <c r="FK3" i="7"/>
  <c r="FJ3" i="7"/>
  <c r="FI3" i="7"/>
  <c r="FH3" i="7"/>
  <c r="FG3" i="7"/>
  <c r="FF3" i="7"/>
  <c r="FE3" i="7"/>
  <c r="FD3" i="7"/>
  <c r="FC3" i="7"/>
  <c r="FB3" i="7"/>
  <c r="FA3" i="7"/>
  <c r="EZ3" i="7"/>
  <c r="EY3" i="7"/>
  <c r="EX3" i="7"/>
  <c r="EW3" i="7"/>
  <c r="EV3" i="7"/>
  <c r="EU3" i="7"/>
  <c r="ET3" i="7"/>
  <c r="ES3" i="7"/>
  <c r="ER3" i="7"/>
  <c r="EQ3" i="7"/>
  <c r="EP3" i="7"/>
  <c r="EO3" i="7"/>
  <c r="EN3" i="7"/>
  <c r="EM3" i="7"/>
  <c r="EL3" i="7"/>
  <c r="EK3" i="7"/>
  <c r="EJ3" i="7"/>
  <c r="EI3" i="7"/>
  <c r="EH3" i="7"/>
  <c r="EG3" i="7"/>
  <c r="EF3" i="7"/>
  <c r="EE3" i="7"/>
  <c r="ED3" i="7"/>
  <c r="EC3" i="7"/>
  <c r="EB3" i="7"/>
  <c r="EA3" i="7"/>
  <c r="DZ3" i="7"/>
  <c r="DY3" i="7"/>
  <c r="DX3" i="7"/>
  <c r="DW3" i="7"/>
  <c r="DV3" i="7"/>
  <c r="DU3" i="7"/>
  <c r="DT3" i="7"/>
  <c r="DS3" i="7"/>
  <c r="DR3" i="7"/>
  <c r="DQ3" i="7"/>
  <c r="DP3" i="7"/>
  <c r="DO3" i="7"/>
  <c r="DN3" i="7"/>
  <c r="DM3" i="7"/>
  <c r="DL3" i="7"/>
  <c r="DK3" i="7"/>
  <c r="DJ3" i="7"/>
  <c r="DI3" i="7"/>
  <c r="DH3" i="7"/>
  <c r="DG3" i="7"/>
  <c r="DF3" i="7"/>
  <c r="DE3" i="7"/>
  <c r="DD3" i="7"/>
  <c r="DC3" i="7"/>
  <c r="DB3" i="7"/>
  <c r="DA3" i="7"/>
  <c r="CZ3" i="7"/>
  <c r="CY3" i="7"/>
  <c r="CX3" i="7"/>
  <c r="CW3" i="7"/>
  <c r="CV3" i="7"/>
  <c r="CU3" i="7"/>
  <c r="CT3" i="7"/>
  <c r="CS3" i="7"/>
  <c r="CR3" i="7"/>
  <c r="CQ3" i="7"/>
  <c r="CP3" i="7"/>
  <c r="CO3" i="7"/>
  <c r="CN3" i="7"/>
  <c r="CM3" i="7"/>
  <c r="CL3" i="7"/>
  <c r="CK3" i="7"/>
  <c r="CJ3" i="7"/>
  <c r="CI3" i="7"/>
  <c r="CH3" i="7"/>
  <c r="CG3" i="7"/>
  <c r="CF3" i="7"/>
  <c r="CE3" i="7"/>
  <c r="CD3" i="7"/>
  <c r="CC3" i="7"/>
  <c r="CB3" i="7"/>
  <c r="CA3" i="7"/>
  <c r="BZ3" i="7"/>
  <c r="BY3" i="7"/>
  <c r="BX3" i="7"/>
  <c r="BW3" i="7"/>
  <c r="BV3" i="7"/>
  <c r="BU3" i="7"/>
  <c r="BT3" i="7"/>
  <c r="BS3" i="7"/>
  <c r="BR3" i="7"/>
  <c r="BQ3" i="7"/>
  <c r="BP3" i="7"/>
  <c r="BO3" i="7"/>
  <c r="BN3" i="7"/>
  <c r="BM3" i="7"/>
  <c r="BL3" i="7"/>
  <c r="BK3" i="7"/>
  <c r="BJ3" i="7"/>
  <c r="BI3" i="7"/>
  <c r="BH3" i="7"/>
  <c r="BG3" i="7"/>
  <c r="BF3" i="7"/>
  <c r="BE3" i="7"/>
  <c r="BD3" i="7"/>
  <c r="BC3" i="7"/>
  <c r="BB3"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HS3" i="6"/>
  <c r="HR3" i="6"/>
  <c r="HQ3" i="6"/>
  <c r="HP3" i="6"/>
  <c r="HO3" i="6"/>
  <c r="HN3" i="6"/>
  <c r="HM3" i="6"/>
  <c r="HL3" i="6"/>
  <c r="HK3" i="6"/>
  <c r="HJ3" i="6"/>
  <c r="HI3" i="6"/>
  <c r="HH3" i="6"/>
  <c r="HG3" i="6"/>
  <c r="HF3" i="6"/>
  <c r="HE3" i="6"/>
  <c r="HD3" i="6"/>
  <c r="HC3" i="6"/>
  <c r="HB3" i="6"/>
  <c r="HA3" i="6"/>
  <c r="GZ3" i="6"/>
  <c r="GY3" i="6"/>
  <c r="GX3" i="6"/>
  <c r="GW3" i="6"/>
  <c r="GV3" i="6"/>
  <c r="GU3" i="6"/>
  <c r="GT3" i="6"/>
  <c r="GS3" i="6"/>
  <c r="GR3" i="6"/>
  <c r="GQ3" i="6"/>
  <c r="GP3" i="6"/>
  <c r="GO3" i="6"/>
  <c r="GN3" i="6"/>
  <c r="GM3" i="6"/>
  <c r="GL3" i="6"/>
  <c r="GK3" i="6"/>
  <c r="GJ3" i="6"/>
  <c r="GI3" i="6"/>
  <c r="GH3" i="6"/>
  <c r="GG3" i="6"/>
  <c r="GF3" i="6"/>
  <c r="GE3" i="6"/>
  <c r="GD3" i="6"/>
  <c r="GC3" i="6"/>
  <c r="GB3" i="6"/>
  <c r="GA3" i="6"/>
  <c r="FZ3" i="6"/>
  <c r="FY3" i="6"/>
  <c r="FX3" i="6"/>
  <c r="FW3" i="6"/>
  <c r="FV3" i="6"/>
  <c r="FU3" i="6"/>
  <c r="FT3" i="6"/>
  <c r="FS3" i="6"/>
  <c r="FR3" i="6"/>
  <c r="FQ3" i="6"/>
  <c r="FP3" i="6"/>
  <c r="FO3" i="6"/>
  <c r="FN3" i="6"/>
  <c r="FM3" i="6"/>
  <c r="FL3" i="6"/>
  <c r="FK3" i="6"/>
  <c r="FJ3" i="6"/>
  <c r="FI3" i="6"/>
  <c r="FH3" i="6"/>
  <c r="FG3" i="6"/>
  <c r="FF3" i="6"/>
  <c r="FE3" i="6"/>
  <c r="FD3" i="6"/>
  <c r="FC3" i="6"/>
  <c r="FB3" i="6"/>
  <c r="FA3" i="6"/>
  <c r="EZ3" i="6"/>
  <c r="EY3" i="6"/>
  <c r="EX3" i="6"/>
  <c r="EW3" i="6"/>
  <c r="EV3" i="6"/>
  <c r="EU3" i="6"/>
  <c r="ET3" i="6"/>
  <c r="ES3" i="6"/>
  <c r="ER3" i="6"/>
  <c r="EQ3" i="6"/>
  <c r="EP3" i="6"/>
  <c r="EO3" i="6"/>
  <c r="EN3" i="6"/>
  <c r="EM3" i="6"/>
  <c r="EL3" i="6"/>
  <c r="EK3" i="6"/>
  <c r="EJ3" i="6"/>
  <c r="EI3" i="6"/>
  <c r="EH3" i="6"/>
  <c r="EG3" i="6"/>
  <c r="EF3" i="6"/>
  <c r="EE3" i="6"/>
  <c r="ED3" i="6"/>
  <c r="EC3" i="6"/>
  <c r="EB3" i="6"/>
  <c r="EA3" i="6"/>
  <c r="DZ3" i="6"/>
  <c r="DY3" i="6"/>
  <c r="DX3" i="6"/>
  <c r="DW3" i="6"/>
  <c r="DV3" i="6"/>
  <c r="DU3" i="6"/>
  <c r="DT3" i="6"/>
  <c r="DS3" i="6"/>
  <c r="DR3" i="6"/>
  <c r="DQ3" i="6"/>
  <c r="DP3" i="6"/>
  <c r="DO3" i="6"/>
  <c r="DN3" i="6"/>
  <c r="DM3" i="6"/>
  <c r="DL3" i="6"/>
  <c r="DK3" i="6"/>
  <c r="DJ3" i="6"/>
  <c r="DI3" i="6"/>
  <c r="DH3" i="6"/>
  <c r="DG3" i="6"/>
  <c r="DF3" i="6"/>
  <c r="DE3" i="6"/>
  <c r="DD3" i="6"/>
  <c r="DC3" i="6"/>
  <c r="DB3" i="6"/>
  <c r="DA3" i="6"/>
  <c r="CZ3" i="6"/>
  <c r="CY3" i="6"/>
  <c r="CX3" i="6"/>
  <c r="CW3" i="6"/>
  <c r="CV3" i="6"/>
  <c r="CU3" i="6"/>
  <c r="CT3" i="6"/>
  <c r="CS3" i="6"/>
  <c r="CR3" i="6"/>
  <c r="CQ3" i="6"/>
  <c r="CP3" i="6"/>
  <c r="CO3" i="6"/>
  <c r="CN3" i="6"/>
  <c r="CM3" i="6"/>
  <c r="CL3" i="6"/>
  <c r="CK3" i="6"/>
  <c r="CJ3" i="6"/>
  <c r="CI3" i="6"/>
  <c r="CH3" i="6"/>
  <c r="CG3" i="6"/>
  <c r="CF3" i="6"/>
  <c r="CE3" i="6"/>
  <c r="CD3" i="6"/>
  <c r="CC3" i="6"/>
  <c r="CB3" i="6"/>
  <c r="CA3" i="6"/>
  <c r="BZ3" i="6"/>
  <c r="BY3" i="6"/>
  <c r="BX3" i="6"/>
  <c r="BW3" i="6"/>
  <c r="BV3" i="6"/>
  <c r="BU3" i="6"/>
  <c r="BT3" i="6"/>
  <c r="BS3" i="6"/>
  <c r="BR3" i="6"/>
  <c r="BQ3" i="6"/>
  <c r="BP3" i="6"/>
  <c r="BO3" i="6"/>
  <c r="BN3" i="6"/>
  <c r="BM3" i="6"/>
  <c r="BL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AG3" i="6"/>
  <c r="AF3" i="6"/>
  <c r="AE3" i="6"/>
  <c r="AD3" i="6"/>
  <c r="AC3" i="6"/>
  <c r="AB3" i="6"/>
  <c r="AA3" i="6"/>
  <c r="Z3" i="6"/>
  <c r="Y3" i="6"/>
  <c r="X3" i="6"/>
  <c r="W3" i="6"/>
  <c r="V3" i="6"/>
  <c r="U3" i="6"/>
  <c r="T3" i="6"/>
  <c r="S3" i="6"/>
  <c r="R3" i="6"/>
  <c r="Q3" i="6"/>
  <c r="P3" i="6"/>
  <c r="O3" i="6"/>
  <c r="HR3" i="5"/>
  <c r="HQ3" i="5"/>
  <c r="HP3" i="5"/>
  <c r="HO3" i="5"/>
  <c r="HN3" i="5"/>
  <c r="HM3" i="5"/>
  <c r="HL3" i="5"/>
  <c r="HK3" i="5"/>
  <c r="HJ3" i="5"/>
  <c r="HI3" i="5"/>
  <c r="HH3" i="5"/>
  <c r="HG3" i="5"/>
  <c r="HF3" i="5"/>
  <c r="HE3" i="5"/>
  <c r="HD3" i="5"/>
  <c r="HC3" i="5"/>
  <c r="HB3" i="5"/>
  <c r="HA3" i="5"/>
  <c r="GZ3" i="5"/>
  <c r="GY3" i="5"/>
  <c r="GX3" i="5"/>
  <c r="GW3" i="5"/>
  <c r="GV3" i="5"/>
  <c r="GU3" i="5"/>
  <c r="GT3" i="5"/>
  <c r="GS3" i="5"/>
  <c r="GR3" i="5"/>
  <c r="GQ3" i="5"/>
  <c r="GP3" i="5"/>
  <c r="GO3"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S3" i="5"/>
  <c r="ER3" i="5"/>
  <c r="EQ3" i="5"/>
  <c r="EP3" i="5"/>
  <c r="EO3" i="5"/>
  <c r="EN3" i="5"/>
  <c r="EM3" i="5"/>
  <c r="EL3" i="5"/>
  <c r="EK3" i="5"/>
  <c r="EJ3" i="5"/>
  <c r="EI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 r="CV3" i="5"/>
  <c r="CU3" i="5"/>
  <c r="CT3" i="5"/>
  <c r="CS3" i="5"/>
  <c r="CR3" i="5"/>
  <c r="CQ3" i="5"/>
  <c r="CP3" i="5"/>
  <c r="CO3" i="5"/>
  <c r="CN3" i="5"/>
  <c r="CM3" i="5"/>
  <c r="CL3" i="5"/>
  <c r="CI3" i="5"/>
  <c r="CH3" i="5"/>
  <c r="CG3" i="5"/>
  <c r="CF3" i="5"/>
  <c r="CE3" i="5"/>
  <c r="CD3" i="5"/>
  <c r="CC3" i="5"/>
  <c r="CB3" i="5"/>
  <c r="CA3" i="5"/>
  <c r="BZ3" i="5"/>
  <c r="BY3" i="5"/>
  <c r="BW3" i="5"/>
  <c r="BV3" i="5"/>
  <c r="BU3" i="5"/>
  <c r="BT3" i="5"/>
  <c r="BS3" i="5"/>
  <c r="BR3" i="5"/>
  <c r="BQ3" i="5"/>
  <c r="BP3" i="5"/>
  <c r="BN3" i="5"/>
  <c r="BM3" i="5"/>
  <c r="BL3" i="5"/>
  <c r="BK3" i="5"/>
  <c r="BJ3" i="5"/>
  <c r="BI3" i="5"/>
  <c r="BH3" i="5"/>
  <c r="BG3" i="5"/>
  <c r="BF3" i="5"/>
  <c r="BE3" i="5"/>
  <c r="BC3" i="5"/>
  <c r="BB3" i="5"/>
  <c r="AZ3" i="5"/>
  <c r="AY3" i="5"/>
  <c r="AX3" i="5"/>
  <c r="AT3" i="5"/>
  <c r="AS3" i="5"/>
  <c r="AR3" i="5"/>
  <c r="AO3" i="5"/>
  <c r="AN3" i="5"/>
  <c r="AM3" i="5"/>
  <c r="AL3" i="5"/>
  <c r="AK3" i="5"/>
  <c r="AI3" i="5"/>
  <c r="AH3" i="5"/>
  <c r="AF3" i="5"/>
  <c r="AD3" i="5"/>
  <c r="AC3" i="5"/>
  <c r="AB3" i="5"/>
  <c r="AA3" i="5"/>
  <c r="Z3" i="5"/>
  <c r="Y3" i="5"/>
  <c r="W3" i="5"/>
  <c r="S3" i="5"/>
  <c r="R3" i="5"/>
  <c r="Q3" i="5"/>
  <c r="HT3" i="4"/>
  <c r="HS3" i="4"/>
  <c r="HR3" i="4"/>
  <c r="HQ3" i="4"/>
  <c r="HP3" i="4"/>
  <c r="HO3" i="4"/>
  <c r="HN3" i="4"/>
  <c r="HM3" i="4"/>
  <c r="HL3" i="4"/>
  <c r="HK3" i="4"/>
  <c r="HJ3" i="4"/>
  <c r="HI3" i="4"/>
  <c r="HH3" i="4"/>
  <c r="HG3" i="4"/>
  <c r="HF3" i="4"/>
  <c r="HE3" i="4"/>
  <c r="HD3" i="4"/>
  <c r="HC3" i="4"/>
  <c r="HB3" i="4"/>
  <c r="HA3" i="4"/>
  <c r="GZ3" i="4"/>
  <c r="GW3" i="4"/>
  <c r="GK3" i="4"/>
  <c r="GH3" i="4"/>
  <c r="GE3" i="4"/>
  <c r="GD3" i="4"/>
  <c r="GC3" i="4"/>
  <c r="GB3" i="4"/>
  <c r="GA3" i="4"/>
  <c r="FZ3" i="4"/>
  <c r="FY3" i="4"/>
  <c r="FX3" i="4"/>
  <c r="FW3" i="4"/>
  <c r="FV3" i="4"/>
  <c r="FU3" i="4"/>
  <c r="FT3" i="4"/>
  <c r="FS3" i="4"/>
  <c r="FR3" i="4"/>
  <c r="FQ3" i="4"/>
  <c r="FP3" i="4"/>
  <c r="FO3" i="4"/>
  <c r="FN3" i="4"/>
  <c r="FM3" i="4"/>
  <c r="FL3" i="4"/>
  <c r="FK3" i="4"/>
  <c r="FJ3" i="4"/>
  <c r="FI3" i="4"/>
  <c r="FH3" i="4"/>
  <c r="FG3" i="4"/>
  <c r="FF3" i="4"/>
  <c r="FE3" i="4"/>
  <c r="FD3" i="4"/>
  <c r="FC3" i="4"/>
  <c r="FB3" i="4"/>
  <c r="FA3" i="4"/>
  <c r="EZ3" i="4"/>
  <c r="EY3" i="4"/>
  <c r="EX3" i="4"/>
  <c r="EV3" i="4"/>
  <c r="EU3" i="4"/>
  <c r="ET3" i="4"/>
  <c r="ES3" i="4"/>
  <c r="ER3" i="4"/>
  <c r="EQ3" i="4"/>
  <c r="EP3" i="4"/>
  <c r="EO3" i="4"/>
  <c r="EN3" i="4"/>
  <c r="EM3" i="4"/>
  <c r="EL3" i="4"/>
  <c r="EK3" i="4"/>
  <c r="EJ3" i="4"/>
  <c r="EI3" i="4"/>
  <c r="EH3" i="4"/>
  <c r="EG3" i="4"/>
  <c r="EF3" i="4"/>
  <c r="EE3" i="4"/>
  <c r="ED3" i="4"/>
  <c r="EC3" i="4"/>
  <c r="EB3" i="4"/>
  <c r="EA3" i="4"/>
  <c r="DZ3" i="4"/>
  <c r="DY3" i="4"/>
  <c r="DX3" i="4"/>
  <c r="DW3" i="4"/>
  <c r="DV3" i="4"/>
  <c r="DU3" i="4"/>
  <c r="DT3" i="4"/>
  <c r="DS3" i="4"/>
  <c r="DR3" i="4"/>
  <c r="DQ3" i="4"/>
  <c r="DP3" i="4"/>
  <c r="DO3" i="4"/>
  <c r="DN3" i="4"/>
  <c r="DM3" i="4"/>
  <c r="DL3" i="4"/>
  <c r="DK3" i="4"/>
  <c r="DJ3" i="4"/>
  <c r="DI3" i="4"/>
  <c r="DH3" i="4"/>
  <c r="DG3" i="4"/>
  <c r="DF3" i="4"/>
  <c r="DE3" i="4"/>
  <c r="DD3" i="4"/>
  <c r="DC3" i="4"/>
  <c r="DB3" i="4"/>
  <c r="DA3" i="4"/>
  <c r="CZ3" i="4"/>
  <c r="CY3" i="4"/>
  <c r="CX3" i="4"/>
  <c r="CW3" i="4"/>
  <c r="CV3" i="4"/>
  <c r="CU3" i="4"/>
  <c r="CT3" i="4"/>
  <c r="CS3" i="4"/>
  <c r="CR3" i="4"/>
  <c r="CQ3" i="4"/>
  <c r="CP3" i="4"/>
  <c r="CO3" i="4"/>
  <c r="CN3" i="4"/>
  <c r="CM3" i="4"/>
  <c r="CL3" i="4"/>
  <c r="CK3" i="4"/>
  <c r="CJ3" i="4"/>
  <c r="CI3" i="4"/>
  <c r="CH3" i="4"/>
  <c r="CG3" i="4"/>
  <c r="CF3" i="4"/>
  <c r="CE3" i="4"/>
  <c r="CD3" i="4"/>
  <c r="CC3" i="4"/>
  <c r="CB3" i="4"/>
  <c r="CA3" i="4"/>
  <c r="BZ3" i="4"/>
  <c r="BX3" i="4"/>
  <c r="BP3" i="4"/>
  <c r="BN3" i="4"/>
  <c r="BL3" i="4"/>
  <c r="BH3" i="4"/>
  <c r="BG3" i="4"/>
  <c r="BE3" i="4"/>
  <c r="BC3" i="4"/>
  <c r="BA3" i="4"/>
  <c r="AZ3" i="4"/>
  <c r="AY3" i="4"/>
  <c r="AX3" i="4"/>
  <c r="AW3" i="4"/>
  <c r="AV3" i="4"/>
  <c r="AU3" i="4"/>
  <c r="AT3" i="4"/>
  <c r="AS3" i="4"/>
  <c r="AQ3" i="4"/>
  <c r="AP3" i="4"/>
  <c r="AO3" i="4"/>
  <c r="AN3" i="4"/>
  <c r="AL3" i="4"/>
  <c r="AK3" i="4"/>
  <c r="AI3" i="4"/>
  <c r="AE3" i="4"/>
  <c r="AC3" i="4"/>
  <c r="AA3" i="4"/>
  <c r="Z3" i="4"/>
  <c r="Y3" i="4"/>
  <c r="W3" i="4"/>
  <c r="R3" i="4"/>
  <c r="AF3" i="4"/>
  <c r="AB3" i="4"/>
  <c r="BB3" i="4"/>
  <c r="U3" i="4"/>
  <c r="ER266" i="8"/>
  <c r="ER3" i="8"/>
  <c r="A903" i="13"/>
  <c r="A902" i="13"/>
  <c r="A901" i="13"/>
  <c r="A900" i="13"/>
  <c r="A899" i="13"/>
  <c r="A898" i="13"/>
  <c r="A897" i="13"/>
  <c r="A896" i="13"/>
  <c r="A895" i="13"/>
  <c r="A894" i="13"/>
  <c r="A893" i="13"/>
  <c r="A892" i="13"/>
  <c r="A891" i="13"/>
  <c r="A890" i="13"/>
  <c r="A889" i="13"/>
  <c r="AE903" i="13"/>
  <c r="AE902" i="13"/>
  <c r="AE901" i="13"/>
  <c r="AE900" i="13"/>
  <c r="AE3" i="13"/>
  <c r="T903" i="13"/>
  <c r="R903" i="13"/>
  <c r="T902" i="13"/>
  <c r="R902" i="13"/>
  <c r="T901" i="13"/>
  <c r="R901" i="13"/>
  <c r="T900" i="13"/>
  <c r="R900" i="13"/>
  <c r="T899" i="13"/>
  <c r="R899" i="13"/>
  <c r="T898" i="13"/>
  <c r="R898" i="13"/>
  <c r="T897" i="13"/>
  <c r="R897" i="13"/>
  <c r="T896" i="13"/>
  <c r="R896" i="13"/>
  <c r="T895" i="13"/>
  <c r="R895" i="13"/>
  <c r="T894" i="13"/>
  <c r="R894" i="13"/>
  <c r="T893" i="13"/>
  <c r="R893" i="13"/>
  <c r="T892" i="13"/>
  <c r="R892" i="13"/>
  <c r="T891" i="13"/>
  <c r="R891" i="13"/>
  <c r="T890" i="13"/>
  <c r="R890" i="13"/>
  <c r="T889" i="13"/>
  <c r="R889" i="13"/>
  <c r="T883" i="12"/>
  <c r="T884" i="12"/>
  <c r="T885" i="12"/>
  <c r="T886" i="12"/>
  <c r="T887" i="12"/>
  <c r="T888" i="12"/>
  <c r="T889" i="12"/>
  <c r="T890" i="12"/>
  <c r="T891" i="12"/>
  <c r="T892" i="12"/>
  <c r="T893" i="12"/>
  <c r="T894" i="12"/>
  <c r="T895" i="12"/>
  <c r="T896" i="12"/>
  <c r="T897" i="12"/>
  <c r="T898" i="12"/>
  <c r="T899" i="12"/>
  <c r="T900" i="12"/>
  <c r="T901" i="12"/>
  <c r="T902" i="12"/>
  <c r="T903" i="12"/>
  <c r="T882" i="12"/>
  <c r="R901" i="12"/>
  <c r="R902" i="12"/>
  <c r="R903" i="12"/>
  <c r="R900" i="12"/>
  <c r="R890" i="12"/>
  <c r="R891" i="12"/>
  <c r="R892" i="12"/>
  <c r="R893" i="12"/>
  <c r="R894" i="12"/>
  <c r="R895" i="12"/>
  <c r="R896" i="12"/>
  <c r="R897" i="12"/>
  <c r="R898" i="12"/>
  <c r="R899" i="12"/>
  <c r="R889" i="12"/>
  <c r="BL270" i="8"/>
  <c r="BI270" i="8"/>
  <c r="BG270" i="8"/>
  <c r="BE270" i="8"/>
  <c r="BD270" i="8"/>
  <c r="BC270" i="8"/>
  <c r="AX270" i="8"/>
  <c r="AW270" i="8"/>
  <c r="AO270" i="8"/>
  <c r="AE270" i="8"/>
  <c r="AA270" i="8"/>
  <c r="X270" i="8"/>
  <c r="Q270" i="8"/>
  <c r="BL269" i="8"/>
  <c r="BI269" i="8"/>
  <c r="BG269" i="8"/>
  <c r="BE269" i="8"/>
  <c r="BD269" i="8"/>
  <c r="BC269" i="8"/>
  <c r="AX269" i="8"/>
  <c r="AW269" i="8"/>
  <c r="AO269" i="8"/>
  <c r="AE269" i="8"/>
  <c r="AA269" i="8"/>
  <c r="X269" i="8"/>
  <c r="Q269" i="8"/>
  <c r="BL268" i="8"/>
  <c r="BI268" i="8"/>
  <c r="BG268" i="8"/>
  <c r="BE268" i="8"/>
  <c r="BD268" i="8"/>
  <c r="BC268" i="8"/>
  <c r="AX268" i="8"/>
  <c r="AW268" i="8"/>
  <c r="AO268" i="8"/>
  <c r="AE268" i="8"/>
  <c r="AA268" i="8"/>
  <c r="X268" i="8"/>
  <c r="Q268" i="8"/>
  <c r="BL267" i="8"/>
  <c r="BI267" i="8"/>
  <c r="BG267" i="8"/>
  <c r="BE267" i="8"/>
  <c r="BD267" i="8"/>
  <c r="BC267" i="8"/>
  <c r="AX267" i="8"/>
  <c r="AW267" i="8"/>
  <c r="AO267" i="8"/>
  <c r="AE267" i="8"/>
  <c r="AA267" i="8"/>
  <c r="X267" i="8"/>
  <c r="Q267" i="8"/>
  <c r="FF266" i="8"/>
  <c r="FF3" i="8"/>
  <c r="FI266" i="8"/>
  <c r="FI3" i="8"/>
  <c r="ES266" i="8"/>
  <c r="ES3" i="8"/>
  <c r="CL266" i="8"/>
  <c r="CL3" i="8"/>
  <c r="BI266" i="8"/>
  <c r="BD266" i="8"/>
  <c r="BC266" i="8"/>
  <c r="AW266" i="8"/>
  <c r="AO266" i="8"/>
  <c r="AE266" i="8"/>
  <c r="AA266" i="8"/>
  <c r="X266" i="8"/>
  <c r="Q266" i="8"/>
  <c r="CK48" i="5"/>
  <c r="CJ48" i="5"/>
  <c r="AP48" i="5"/>
  <c r="AG48" i="5"/>
  <c r="AE48" i="5"/>
  <c r="U48" i="5"/>
  <c r="P48" i="5"/>
  <c r="O48" i="5"/>
  <c r="CK47" i="5"/>
  <c r="CJ47" i="5"/>
  <c r="AP47" i="5"/>
  <c r="AG47" i="5"/>
  <c r="AE47" i="5"/>
  <c r="U47" i="5"/>
  <c r="P47" i="5"/>
  <c r="O47" i="5"/>
  <c r="CK46" i="5"/>
  <c r="CJ46" i="5"/>
  <c r="AP46" i="5"/>
  <c r="AG46" i="5"/>
  <c r="AE46" i="5"/>
  <c r="U46" i="5"/>
  <c r="P46" i="5"/>
  <c r="O46" i="5"/>
  <c r="CK45" i="5"/>
  <c r="CJ45" i="5"/>
  <c r="AP45" i="5"/>
  <c r="AG45" i="5"/>
  <c r="AE45" i="5"/>
  <c r="U45" i="5"/>
  <c r="P45" i="5"/>
  <c r="O45" i="5"/>
  <c r="CK44" i="5"/>
  <c r="CJ44" i="5"/>
  <c r="AP44" i="5"/>
  <c r="AG44" i="5"/>
  <c r="AE44" i="5"/>
  <c r="U44" i="5"/>
  <c r="P44" i="5"/>
  <c r="O44" i="5"/>
  <c r="CK43" i="5"/>
  <c r="CJ43" i="5"/>
  <c r="AP43" i="5"/>
  <c r="AG43" i="5"/>
  <c r="AE43" i="5"/>
  <c r="U43" i="5"/>
  <c r="P43" i="5"/>
  <c r="O43" i="5"/>
  <c r="CK42" i="5"/>
  <c r="CJ42" i="5"/>
  <c r="AP42" i="5"/>
  <c r="AG42" i="5"/>
  <c r="AE42" i="5"/>
  <c r="U42" i="5"/>
  <c r="P42" i="5"/>
  <c r="O42" i="5"/>
  <c r="CK41" i="5"/>
  <c r="CK3" i="5"/>
  <c r="CJ41" i="5"/>
  <c r="CJ3" i="5"/>
  <c r="AP41" i="5"/>
  <c r="AG41" i="5"/>
  <c r="AG3" i="5"/>
  <c r="AE41" i="5"/>
  <c r="AE3" i="5"/>
  <c r="U41" i="5"/>
  <c r="U3" i="5"/>
  <c r="P41" i="5"/>
  <c r="O41" i="5"/>
  <c r="O3" i="5"/>
  <c r="EH31" i="5"/>
  <c r="BX31" i="5"/>
  <c r="BO31" i="5"/>
  <c r="EH30" i="5"/>
  <c r="BX30" i="5"/>
  <c r="BO30" i="5"/>
  <c r="EH29" i="5"/>
  <c r="BX29" i="5"/>
  <c r="BO29" i="5"/>
  <c r="BD19" i="5"/>
  <c r="BA19" i="5"/>
  <c r="AW19" i="5"/>
  <c r="AV19" i="5"/>
  <c r="AU19" i="5"/>
  <c r="AQ19" i="5"/>
  <c r="AP19" i="5"/>
  <c r="AJ19" i="5"/>
  <c r="X19" i="5"/>
  <c r="V19" i="5"/>
  <c r="T19" i="5"/>
  <c r="P19" i="5"/>
  <c r="BD18" i="5"/>
  <c r="BA18" i="5"/>
  <c r="AW18" i="5"/>
  <c r="AV18" i="5"/>
  <c r="AU18" i="5"/>
  <c r="AQ18" i="5"/>
  <c r="AP18" i="5"/>
  <c r="AJ18" i="5"/>
  <c r="X18" i="5"/>
  <c r="V18" i="5"/>
  <c r="T18" i="5"/>
  <c r="P18" i="5"/>
  <c r="BD17" i="5"/>
  <c r="BA17" i="5"/>
  <c r="AW17" i="5"/>
  <c r="AV17" i="5"/>
  <c r="AU17" i="5"/>
  <c r="AQ17" i="5"/>
  <c r="AP17" i="5"/>
  <c r="AJ17" i="5"/>
  <c r="X17" i="5"/>
  <c r="V17" i="5"/>
  <c r="T17" i="5"/>
  <c r="P17" i="5"/>
  <c r="BD16" i="5"/>
  <c r="BA16" i="5"/>
  <c r="AW16" i="5"/>
  <c r="AV16" i="5"/>
  <c r="AU16" i="5"/>
  <c r="AQ16" i="5"/>
  <c r="AP16" i="5"/>
  <c r="AJ16" i="5"/>
  <c r="X16" i="5"/>
  <c r="V16" i="5"/>
  <c r="T16" i="5"/>
  <c r="P16" i="5"/>
  <c r="BD15" i="5"/>
  <c r="BA15" i="5"/>
  <c r="AW15" i="5"/>
  <c r="AV15" i="5"/>
  <c r="AU15" i="5"/>
  <c r="AQ15" i="5"/>
  <c r="AP15" i="5"/>
  <c r="AJ15" i="5"/>
  <c r="X15" i="5"/>
  <c r="V15" i="5"/>
  <c r="T15" i="5"/>
  <c r="P15" i="5"/>
  <c r="BD14" i="5"/>
  <c r="BA14" i="5"/>
  <c r="AW14" i="5"/>
  <c r="AV14" i="5"/>
  <c r="AU14" i="5"/>
  <c r="AQ14" i="5"/>
  <c r="AP14" i="5"/>
  <c r="AJ14" i="5"/>
  <c r="X14" i="5"/>
  <c r="V14" i="5"/>
  <c r="T14" i="5"/>
  <c r="P14" i="5"/>
  <c r="BD13" i="5"/>
  <c r="BA13" i="5"/>
  <c r="AW13" i="5"/>
  <c r="AV13" i="5"/>
  <c r="AU13" i="5"/>
  <c r="AQ13" i="5"/>
  <c r="AP13" i="5"/>
  <c r="AJ13" i="5"/>
  <c r="X13" i="5"/>
  <c r="V13" i="5"/>
  <c r="T13" i="5"/>
  <c r="P13" i="5"/>
  <c r="BD12" i="5"/>
  <c r="BA12" i="5"/>
  <c r="AW12" i="5"/>
  <c r="AV12" i="5"/>
  <c r="AU12" i="5"/>
  <c r="AQ12" i="5"/>
  <c r="AP12" i="5"/>
  <c r="AJ12" i="5"/>
  <c r="X12" i="5"/>
  <c r="V12" i="5"/>
  <c r="T12" i="5"/>
  <c r="P12" i="5"/>
  <c r="BD11" i="5"/>
  <c r="BA11" i="5"/>
  <c r="AW11" i="5"/>
  <c r="AV11" i="5"/>
  <c r="AU11" i="5"/>
  <c r="AQ11" i="5"/>
  <c r="AP11" i="5"/>
  <c r="AJ11" i="5"/>
  <c r="X11" i="5"/>
  <c r="V11" i="5"/>
  <c r="T11" i="5"/>
  <c r="P11" i="5"/>
  <c r="BD10" i="5"/>
  <c r="BA10" i="5"/>
  <c r="AW10" i="5"/>
  <c r="AV10" i="5"/>
  <c r="AU10" i="5"/>
  <c r="AQ10" i="5"/>
  <c r="AP10" i="5"/>
  <c r="AJ10" i="5"/>
  <c r="X10" i="5"/>
  <c r="V10" i="5"/>
  <c r="T10" i="5"/>
  <c r="P10" i="5"/>
  <c r="BD9" i="5"/>
  <c r="BA9" i="5"/>
  <c r="AW9" i="5"/>
  <c r="AV9" i="5"/>
  <c r="AU9" i="5"/>
  <c r="AQ9" i="5"/>
  <c r="AP9" i="5"/>
  <c r="AJ9" i="5"/>
  <c r="X9" i="5"/>
  <c r="V9" i="5"/>
  <c r="T9" i="5"/>
  <c r="P9" i="5"/>
  <c r="BD8" i="5"/>
  <c r="BA8" i="5"/>
  <c r="AW8" i="5"/>
  <c r="AV8" i="5"/>
  <c r="AU8" i="5"/>
  <c r="AQ8" i="5"/>
  <c r="AP8" i="5"/>
  <c r="AJ8" i="5"/>
  <c r="X8" i="5"/>
  <c r="V8" i="5"/>
  <c r="T8" i="5"/>
  <c r="P8" i="5"/>
  <c r="BD7" i="5"/>
  <c r="BA7" i="5"/>
  <c r="AW7" i="5"/>
  <c r="AV7" i="5"/>
  <c r="AU7" i="5"/>
  <c r="AQ7" i="5"/>
  <c r="AP7" i="5"/>
  <c r="AJ7" i="5"/>
  <c r="X7" i="5"/>
  <c r="V7" i="5"/>
  <c r="T7" i="5"/>
  <c r="P7" i="5"/>
  <c r="BD6" i="5"/>
  <c r="BA6" i="5"/>
  <c r="AW6" i="5"/>
  <c r="AV6" i="5"/>
  <c r="AU6" i="5"/>
  <c r="AQ6" i="5"/>
  <c r="AP6" i="5"/>
  <c r="AJ6" i="5"/>
  <c r="X6" i="5"/>
  <c r="V6" i="5"/>
  <c r="T6" i="5"/>
  <c r="P6" i="5"/>
  <c r="BD5" i="5"/>
  <c r="BD3" i="5"/>
  <c r="BA5" i="5"/>
  <c r="BA3" i="5"/>
  <c r="AW5" i="5"/>
  <c r="AW3" i="5"/>
  <c r="AV5" i="5"/>
  <c r="AV3" i="5"/>
  <c r="AU5" i="5"/>
  <c r="AU3" i="5"/>
  <c r="AQ5" i="5"/>
  <c r="AQ3" i="5"/>
  <c r="AP5" i="5"/>
  <c r="AP3" i="5"/>
  <c r="AJ5" i="5"/>
  <c r="AJ3" i="5"/>
  <c r="X5" i="5"/>
  <c r="X3" i="5"/>
  <c r="V5" i="5"/>
  <c r="V3" i="5"/>
  <c r="T5" i="5"/>
  <c r="T3" i="5"/>
  <c r="P5" i="5"/>
  <c r="P3" i="5"/>
  <c r="BO3" i="5"/>
  <c r="EH3" i="5"/>
  <c r="X3" i="8"/>
  <c r="AE3" i="8"/>
  <c r="AW3" i="8"/>
  <c r="BD3" i="8"/>
  <c r="Q3" i="8"/>
  <c r="AA3" i="8"/>
  <c r="AO3" i="8"/>
  <c r="AX3" i="8"/>
  <c r="BG3" i="8"/>
  <c r="BL3" i="8"/>
  <c r="BC3" i="8"/>
  <c r="BE3" i="8"/>
  <c r="BI3" i="8"/>
  <c r="BX3" i="5"/>
  <c r="BI3" i="4"/>
  <c r="GF3" i="4"/>
  <c r="GI3" i="4"/>
  <c r="GL3" i="4"/>
  <c r="GN3" i="4"/>
  <c r="GP3" i="4"/>
  <c r="GR3" i="4"/>
  <c r="GT3" i="4"/>
  <c r="GV3" i="4"/>
  <c r="GY3" i="4"/>
  <c r="GX3" i="4"/>
  <c r="BW3" i="4"/>
  <c r="GG3" i="4"/>
  <c r="GM3" i="4"/>
  <c r="GO3" i="4"/>
  <c r="GJ3" i="4"/>
  <c r="GQ3" i="4"/>
  <c r="GS3" i="4"/>
  <c r="GU3" i="4"/>
  <c r="BJ3" i="4"/>
  <c r="V3" i="4"/>
  <c r="AJ3" i="4"/>
  <c r="AM3" i="4"/>
  <c r="BV3" i="4"/>
  <c r="BQ3" i="4"/>
  <c r="EW3" i="4"/>
  <c r="BK3" i="4"/>
  <c r="BM3" i="4"/>
  <c r="BR3" i="4"/>
  <c r="BU3" i="4"/>
  <c r="BY3" i="4"/>
  <c r="BS3" i="4"/>
  <c r="BF3" i="4"/>
  <c r="BT3" i="4"/>
  <c r="BO3" i="4"/>
  <c r="X3" i="4"/>
  <c r="AG3" i="4"/>
  <c r="AR3" i="4"/>
  <c r="Q3" i="4"/>
  <c r="S3" i="4"/>
</calcChain>
</file>

<file path=xl/comments1.xml><?xml version="1.0" encoding="utf-8"?>
<comments xmlns="http://schemas.openxmlformats.org/spreadsheetml/2006/main">
  <authors>
    <author>Miyuki Shimizu (ESN)</author>
  </authors>
  <commentList>
    <comment ref="L4" authorId="0" shapeId="0">
      <text>
        <r>
          <rPr>
            <b/>
            <sz val="9"/>
            <color indexed="81"/>
            <rFont val="Tahoma"/>
            <family val="2"/>
          </rPr>
          <t>Miyuki Shimizu (ESN):</t>
        </r>
        <r>
          <rPr>
            <sz val="9"/>
            <color indexed="81"/>
            <rFont val="Tahoma"/>
            <family val="2"/>
          </rPr>
          <t xml:space="preserve">
complete(the sodium values are not entered since the values are too high . The author clarified it must be error)</t>
        </r>
      </text>
    </comment>
    <comment ref="L21" authorId="0" shapeId="0">
      <text>
        <r>
          <rPr>
            <b/>
            <sz val="9"/>
            <color indexed="81"/>
            <rFont val="Tahoma"/>
            <family val="2"/>
          </rPr>
          <t>Miyuki Shimizu (ESN):</t>
        </r>
        <r>
          <rPr>
            <sz val="9"/>
            <color indexed="81"/>
            <rFont val="Tahoma"/>
            <family val="2"/>
          </rPr>
          <t xml:space="preserve">
complete. Included other species' data for the analytical database 
</t>
        </r>
      </text>
    </comment>
    <comment ref="L26" authorId="0" shapeId="0">
      <text>
        <r>
          <rPr>
            <b/>
            <sz val="9"/>
            <color indexed="81"/>
            <rFont val="Tahoma"/>
            <family val="2"/>
          </rPr>
          <t>Miyuki Shimizu (ESN):</t>
        </r>
        <r>
          <rPr>
            <sz val="9"/>
            <color indexed="81"/>
            <rFont val="Tahoma"/>
            <family val="2"/>
          </rPr>
          <t xml:space="preserve">
complete</t>
        </r>
      </text>
    </comment>
    <comment ref="L27" authorId="0" shapeId="0">
      <text>
        <r>
          <rPr>
            <b/>
            <sz val="9"/>
            <color indexed="81"/>
            <rFont val="Tahoma"/>
            <family val="2"/>
          </rPr>
          <t>Miyuki Shimizu (ESN):</t>
        </r>
        <r>
          <rPr>
            <sz val="9"/>
            <color indexed="81"/>
            <rFont val="Tahoma"/>
            <family val="2"/>
          </rPr>
          <t xml:space="preserve">
complete</t>
        </r>
      </text>
    </comment>
    <comment ref="L29" authorId="0" shapeId="0">
      <text>
        <r>
          <rPr>
            <b/>
            <sz val="9"/>
            <color indexed="81"/>
            <rFont val="Tahoma"/>
            <family val="2"/>
          </rPr>
          <t>Miyuki Shimizu (ESN):</t>
        </r>
        <r>
          <rPr>
            <sz val="9"/>
            <color indexed="81"/>
            <rFont val="Tahoma"/>
            <family val="2"/>
          </rPr>
          <t xml:space="preserve">
complete</t>
        </r>
      </text>
    </comment>
    <comment ref="L32" authorId="0" shapeId="0">
      <text>
        <r>
          <rPr>
            <b/>
            <sz val="9"/>
            <color indexed="81"/>
            <rFont val="Tahoma"/>
            <family val="2"/>
          </rPr>
          <t>Miyuki Shimizu (ESN):</t>
        </r>
        <r>
          <rPr>
            <sz val="9"/>
            <color indexed="81"/>
            <rFont val="Tahoma"/>
            <family val="2"/>
          </rPr>
          <t xml:space="preserve">
complete</t>
        </r>
      </text>
    </comment>
    <comment ref="L35" authorId="0" shapeId="0">
      <text>
        <r>
          <rPr>
            <b/>
            <sz val="9"/>
            <color indexed="81"/>
            <rFont val="Tahoma"/>
            <family val="2"/>
          </rPr>
          <t>Miyuki Shimizu (ESN):</t>
        </r>
        <r>
          <rPr>
            <sz val="9"/>
            <color indexed="81"/>
            <rFont val="Tahoma"/>
            <family val="2"/>
          </rPr>
          <t xml:space="preserve">
complete</t>
        </r>
      </text>
    </comment>
    <comment ref="L38" authorId="0" shapeId="0">
      <text>
        <r>
          <rPr>
            <b/>
            <sz val="9"/>
            <color indexed="81"/>
            <rFont val="Tahoma"/>
            <family val="2"/>
          </rPr>
          <t>Miyuki Shimizu (ESN):</t>
        </r>
        <r>
          <rPr>
            <sz val="9"/>
            <color indexed="81"/>
            <rFont val="Tahoma"/>
            <family val="2"/>
          </rPr>
          <t xml:space="preserve">
complete</t>
        </r>
      </text>
    </comment>
    <comment ref="Z38" authorId="0" shapeId="0">
      <text>
        <r>
          <rPr>
            <b/>
            <sz val="9"/>
            <color indexed="81"/>
            <rFont val="Tahoma"/>
            <family val="2"/>
          </rPr>
          <t>Miyuki Shimizu (ESN):</t>
        </r>
        <r>
          <rPr>
            <sz val="9"/>
            <color indexed="81"/>
            <rFont val="Tahoma"/>
            <family val="2"/>
          </rPr>
          <t xml:space="preserve">
Unknown method. available CHO should be 36.3. </t>
        </r>
      </text>
    </comment>
    <comment ref="L41" authorId="0" shapeId="0">
      <text>
        <r>
          <rPr>
            <b/>
            <sz val="9"/>
            <color indexed="81"/>
            <rFont val="Tahoma"/>
            <family val="2"/>
          </rPr>
          <t>Miyuki Shimizu (ESN):</t>
        </r>
        <r>
          <rPr>
            <sz val="9"/>
            <color indexed="81"/>
            <rFont val="Tahoma"/>
            <family val="2"/>
          </rPr>
          <t xml:space="preserve">
complete</t>
        </r>
      </text>
    </comment>
    <comment ref="CJ41" authorId="0" shapeId="0">
      <text>
        <r>
          <rPr>
            <b/>
            <sz val="9"/>
            <color indexed="81"/>
            <rFont val="Tahoma"/>
            <family val="2"/>
          </rPr>
          <t>Miyuki Shimizu (ESN):</t>
        </r>
        <r>
          <rPr>
            <sz val="9"/>
            <color indexed="81"/>
            <rFont val="Tahoma"/>
            <family val="2"/>
          </rPr>
          <t xml:space="preserve">
starch values are expressed as glucose</t>
        </r>
      </text>
    </comment>
    <comment ref="L49" authorId="0" shapeId="0">
      <text>
        <r>
          <rPr>
            <b/>
            <sz val="9"/>
            <color indexed="81"/>
            <rFont val="Tahoma"/>
            <family val="2"/>
          </rPr>
          <t>Miyuki Shimizu (ESN):</t>
        </r>
        <r>
          <rPr>
            <sz val="9"/>
            <color indexed="81"/>
            <rFont val="Tahoma"/>
            <family val="2"/>
          </rPr>
          <t xml:space="preserve">
it has also many other data to be entered if time left</t>
        </r>
      </text>
    </comment>
  </commentList>
</comments>
</file>

<file path=xl/sharedStrings.xml><?xml version="1.0" encoding="utf-8"?>
<sst xmlns="http://schemas.openxmlformats.org/spreadsheetml/2006/main" count="40166" uniqueCount="7706">
  <si>
    <t>All food components are presented as per 100 g edible portion on fresh weight basis</t>
  </si>
  <si>
    <t>Type</t>
  </si>
  <si>
    <t>F</t>
  </si>
  <si>
    <t>farmed</t>
  </si>
  <si>
    <t>W</t>
  </si>
  <si>
    <t>wild</t>
  </si>
  <si>
    <t>Processing</t>
  </si>
  <si>
    <t>r</t>
  </si>
  <si>
    <t>raw</t>
  </si>
  <si>
    <t>d</t>
  </si>
  <si>
    <t>dried</t>
  </si>
  <si>
    <t>p</t>
  </si>
  <si>
    <t>processed</t>
  </si>
  <si>
    <t>n</t>
  </si>
  <si>
    <t>number of independent analytical samples</t>
  </si>
  <si>
    <t>tr</t>
  </si>
  <si>
    <t>trace</t>
  </si>
  <si>
    <t>nd</t>
  </si>
  <si>
    <t>not detected</t>
  </si>
  <si>
    <t>Compiler ID</t>
  </si>
  <si>
    <t>Name of Compiler</t>
  </si>
  <si>
    <t>JD</t>
  </si>
  <si>
    <t>Juan Du</t>
  </si>
  <si>
    <t>SE</t>
  </si>
  <si>
    <t>Sandra Eisenwagen</t>
  </si>
  <si>
    <t>VN</t>
  </si>
  <si>
    <t>Verena Nowak</t>
  </si>
  <si>
    <t>DR</t>
  </si>
  <si>
    <t>Doris Rittenschober</t>
  </si>
  <si>
    <t>KE</t>
  </si>
  <si>
    <t>Kristy Ebanks</t>
  </si>
  <si>
    <t>OR</t>
  </si>
  <si>
    <t>Ólafur Reykdal</t>
  </si>
  <si>
    <t>12 Food groups are predefined. Within certain food groups, subgroups as given may be added in a separate column.</t>
  </si>
  <si>
    <t>Code</t>
  </si>
  <si>
    <t>Food group</t>
  </si>
  <si>
    <t>01</t>
  </si>
  <si>
    <t xml:space="preserve">Cereals </t>
  </si>
  <si>
    <t>02</t>
  </si>
  <si>
    <t>Starchy roots and tubers</t>
  </si>
  <si>
    <t>03</t>
  </si>
  <si>
    <t xml:space="preserve">Legumes </t>
  </si>
  <si>
    <t>04</t>
  </si>
  <si>
    <t>Nuts and seeds</t>
  </si>
  <si>
    <t>05</t>
  </si>
  <si>
    <t xml:space="preserve">Vegetables </t>
  </si>
  <si>
    <t>06</t>
  </si>
  <si>
    <t>Fruits</t>
  </si>
  <si>
    <t>07</t>
  </si>
  <si>
    <t>Meat and poultry</t>
  </si>
  <si>
    <t>08</t>
  </si>
  <si>
    <t>Eggs</t>
  </si>
  <si>
    <t>09</t>
  </si>
  <si>
    <t>Fish and shellfish</t>
  </si>
  <si>
    <t>Subgroups</t>
  </si>
  <si>
    <t>Finfish</t>
  </si>
  <si>
    <t>Crustaceans</t>
  </si>
  <si>
    <t>Molluscs</t>
  </si>
  <si>
    <t>10</t>
  </si>
  <si>
    <t>Milk and milk products</t>
  </si>
  <si>
    <t>11</t>
  </si>
  <si>
    <t>Herbs and spices</t>
  </si>
  <si>
    <t>12</t>
  </si>
  <si>
    <t>Miscellaneous</t>
  </si>
  <si>
    <t>Food Item ID</t>
  </si>
  <si>
    <t>Country, region</t>
  </si>
  <si>
    <t>Foodname in own language</t>
  </si>
  <si>
    <t>Foodname in English</t>
  </si>
  <si>
    <t>Season</t>
  </si>
  <si>
    <t>Other</t>
  </si>
  <si>
    <t>Comments on data processing/methods</t>
  </si>
  <si>
    <t>Publication year</t>
  </si>
  <si>
    <t>Latest Revision in Version</t>
  </si>
  <si>
    <t>WATER(g)</t>
  </si>
  <si>
    <t>XN</t>
  </si>
  <si>
    <t>PROT-</t>
  </si>
  <si>
    <t>FATCE(g)</t>
  </si>
  <si>
    <t>FAT-(g)</t>
  </si>
  <si>
    <t>FAUN(g)</t>
  </si>
  <si>
    <t>CHOAVLDF(g)</t>
  </si>
  <si>
    <t>CHOTDF(g)</t>
  </si>
  <si>
    <t>AMYS(g)</t>
  </si>
  <si>
    <t>FIBC(g)</t>
  </si>
  <si>
    <t>FIB-(g)</t>
  </si>
  <si>
    <t>ASH(g)</t>
  </si>
  <si>
    <t>CA(mg)</t>
  </si>
  <si>
    <t>CU(mg)</t>
  </si>
  <si>
    <t>FE(mg)</t>
  </si>
  <si>
    <t>K(mg)</t>
  </si>
  <si>
    <t>MG(mg)</t>
  </si>
  <si>
    <t>NA(mg)</t>
  </si>
  <si>
    <t>P(mg)</t>
  </si>
  <si>
    <t>ZN(mg)</t>
  </si>
  <si>
    <t>THIA(mg)</t>
  </si>
  <si>
    <t>RIBF(mg)</t>
  </si>
  <si>
    <t>NIA-(mg)</t>
  </si>
  <si>
    <t>FRUS(g)</t>
  </si>
  <si>
    <t>GLUS(g)</t>
  </si>
  <si>
    <t>XYLS(g)</t>
  </si>
  <si>
    <t>MALS(g)</t>
  </si>
  <si>
    <t>GALS(g)</t>
  </si>
  <si>
    <t>RIBS(g)</t>
  </si>
  <si>
    <t>WAX(g)</t>
  </si>
  <si>
    <t>FAFRE(g)</t>
  </si>
  <si>
    <t>MGLY(g)</t>
  </si>
  <si>
    <t>DGLY(g)</t>
  </si>
  <si>
    <t>TGLY(g)</t>
  </si>
  <si>
    <t>PHOAC(g)</t>
  </si>
  <si>
    <t>PHOSER(g)</t>
  </si>
  <si>
    <t>PHOETHN(g)</t>
  </si>
  <si>
    <t>PHOINOTL(g)</t>
  </si>
  <si>
    <t>CHLNP(g)</t>
  </si>
  <si>
    <t>F12D0(g)</t>
  </si>
  <si>
    <t>F13D0(g)</t>
  </si>
  <si>
    <t>F14D0(g)</t>
  </si>
  <si>
    <t>F15D0(g)</t>
  </si>
  <si>
    <t>F16D0(g)</t>
  </si>
  <si>
    <t>F17D0(g)</t>
  </si>
  <si>
    <t>F18D0(g)</t>
  </si>
  <si>
    <t>F20D0(g)</t>
  </si>
  <si>
    <t>F21D0(g)</t>
  </si>
  <si>
    <t>F22D0(g)</t>
  </si>
  <si>
    <t>F24D0(g)</t>
  </si>
  <si>
    <t>F16D1(g)</t>
  </si>
  <si>
    <t>F18D1(g)</t>
  </si>
  <si>
    <t>F20D1(g)</t>
  </si>
  <si>
    <t>F22D1(g)</t>
  </si>
  <si>
    <t>F24D1(g)</t>
  </si>
  <si>
    <t>F16D2(g)</t>
  </si>
  <si>
    <t>F18D2(g)</t>
  </si>
  <si>
    <t>F20D2(g)</t>
  </si>
  <si>
    <t>F22D2(g)</t>
  </si>
  <si>
    <t>F18D3(g)</t>
  </si>
  <si>
    <t>ALA(mg)</t>
  </si>
  <si>
    <t>ARG(mg)</t>
  </si>
  <si>
    <t>ASN(mg)</t>
  </si>
  <si>
    <t>CYS(mg)</t>
  </si>
  <si>
    <t>GLU(mg)</t>
  </si>
  <si>
    <t>GLY(mg)</t>
  </si>
  <si>
    <t>HIS(mg)</t>
  </si>
  <si>
    <t>ILE(mg)</t>
  </si>
  <si>
    <t>LEU(mg)</t>
  </si>
  <si>
    <t>LYS(mg)</t>
  </si>
  <si>
    <t>MET(mg)</t>
  </si>
  <si>
    <t>PHE(mg)</t>
  </si>
  <si>
    <t>PRO(mg)</t>
  </si>
  <si>
    <t>SER(mg)</t>
  </si>
  <si>
    <t>THR(mg)</t>
  </si>
  <si>
    <t>TRP(mg)</t>
  </si>
  <si>
    <t>TYR(mg)</t>
  </si>
  <si>
    <t>VAL(mg)</t>
  </si>
  <si>
    <t>AAA(mg)</t>
  </si>
  <si>
    <t>sampling place</t>
  </si>
  <si>
    <t>r: raw, d: dried, p: processed</t>
  </si>
  <si>
    <t>sampling season</t>
  </si>
  <si>
    <t>additional information on factors influencing the nutrient composition</t>
  </si>
  <si>
    <t>Water</t>
  </si>
  <si>
    <t xml:space="preserve">Conversion factor to calculate total protein from nitrogen </t>
  </si>
  <si>
    <t xml:space="preserve">Protein, total; calculated from total nitrogen </t>
  </si>
  <si>
    <t>Protein, total; method of determination unknown or variable</t>
  </si>
  <si>
    <t>Fat, total; derived by analysis using continuous extraction</t>
  </si>
  <si>
    <t>Fat; method of determination unknown or mixed methods</t>
  </si>
  <si>
    <t>Other fatty acids, not specifiied</t>
  </si>
  <si>
    <t>Carbohydrate, available; calculated by difference</t>
  </si>
  <si>
    <t>Carbohydrate, total; calculated by difference</t>
  </si>
  <si>
    <t>Amylose</t>
  </si>
  <si>
    <t>Fibre, crude</t>
  </si>
  <si>
    <t>Fibre; method of determination unknown or variable</t>
  </si>
  <si>
    <t>Ash</t>
  </si>
  <si>
    <t>Calcium</t>
  </si>
  <si>
    <t>Copper</t>
  </si>
  <si>
    <t>Iron, total</t>
  </si>
  <si>
    <t>Potassium</t>
  </si>
  <si>
    <t>Magnesium</t>
  </si>
  <si>
    <t>Sodium</t>
  </si>
  <si>
    <t>Phosphorus</t>
  </si>
  <si>
    <t>Zink</t>
  </si>
  <si>
    <t>Thiamin</t>
  </si>
  <si>
    <t>Riboflavin</t>
  </si>
  <si>
    <t>Niacin; method or form unknown</t>
  </si>
  <si>
    <t>Fructose</t>
  </si>
  <si>
    <t>Glucose</t>
  </si>
  <si>
    <t>Xylose</t>
  </si>
  <si>
    <t>Maltose</t>
  </si>
  <si>
    <t>Galactose</t>
  </si>
  <si>
    <t>Ribose</t>
  </si>
  <si>
    <t>Wax, total</t>
  </si>
  <si>
    <t>Free fatty acids, total</t>
  </si>
  <si>
    <t>Monoglycerides, total</t>
  </si>
  <si>
    <t>Diglycerides, total</t>
  </si>
  <si>
    <t>Triglycerides, total</t>
  </si>
  <si>
    <t>Phosphatidic acid</t>
  </si>
  <si>
    <t>Phosphatidylserine</t>
  </si>
  <si>
    <t>Phosphatidylethanolamine</t>
  </si>
  <si>
    <t>Phosphatidylinositol</t>
  </si>
  <si>
    <t>Phosphatidyl choline</t>
  </si>
  <si>
    <t>Fatty acid 12:0</t>
  </si>
  <si>
    <t>Fatty acid 13:0</t>
  </si>
  <si>
    <t>Fatty acid 14:0</t>
  </si>
  <si>
    <t>Fatty acid 15:0</t>
  </si>
  <si>
    <t>Fatty acid 16:0</t>
  </si>
  <si>
    <t>Fatty acid 17:0</t>
  </si>
  <si>
    <t>Fatty acid 18:0</t>
  </si>
  <si>
    <t>Fatty acid 20:0</t>
  </si>
  <si>
    <t>Fatty acid 21:0</t>
  </si>
  <si>
    <t>Fatty acid 22:0</t>
  </si>
  <si>
    <t>Fatty acid 24:0</t>
  </si>
  <si>
    <t>Fatty acid 16:1</t>
  </si>
  <si>
    <t>Fatty acid 18:1</t>
  </si>
  <si>
    <t>Fatty acid 20:1</t>
  </si>
  <si>
    <t>Fatty acid 22:1</t>
  </si>
  <si>
    <t>Fatty acid 24:1</t>
  </si>
  <si>
    <t>Fatty acid 16:2</t>
  </si>
  <si>
    <t>Fatty acid 18:2</t>
  </si>
  <si>
    <t>Fatty acid 20:2</t>
  </si>
  <si>
    <t>Fatty acid 22:2</t>
  </si>
  <si>
    <t>Fatty acid 18:3</t>
  </si>
  <si>
    <t>Alanine</t>
  </si>
  <si>
    <t>Arginine</t>
  </si>
  <si>
    <t>Asparagine</t>
  </si>
  <si>
    <t>Cystine</t>
  </si>
  <si>
    <t>Glutamic acid</t>
  </si>
  <si>
    <t>Glycine</t>
  </si>
  <si>
    <t>Histidine</t>
  </si>
  <si>
    <t>Isoleucin</t>
  </si>
  <si>
    <t>Leucine</t>
  </si>
  <si>
    <t>Lysine</t>
  </si>
  <si>
    <t>Methionine</t>
  </si>
  <si>
    <t>Phenylalanine</t>
  </si>
  <si>
    <t>Proline</t>
  </si>
  <si>
    <t>Serine</t>
  </si>
  <si>
    <t>Threonine</t>
  </si>
  <si>
    <t>Tryptophan</t>
  </si>
  <si>
    <t>Tyrosine</t>
  </si>
  <si>
    <t>Valine</t>
  </si>
  <si>
    <t>Amino acids, aromatic</t>
  </si>
  <si>
    <t>Unknown</t>
  </si>
  <si>
    <t>Canada</t>
  </si>
  <si>
    <t>Brazil</t>
  </si>
  <si>
    <t>Scientific name</t>
  </si>
  <si>
    <t>BiblioID</t>
  </si>
  <si>
    <t xml:space="preserve">Foodname in </t>
  </si>
  <si>
    <t>Latest version of revision</t>
  </si>
  <si>
    <t>ENERC(kJ) (original)</t>
  </si>
  <si>
    <t>ENERC(kcal) (original)</t>
  </si>
  <si>
    <t>DM(g)</t>
  </si>
  <si>
    <t>PROT-(g)</t>
  </si>
  <si>
    <t>CHO-(g)</t>
  </si>
  <si>
    <t>SUGAR(g)</t>
  </si>
  <si>
    <t>AL(mcg)</t>
  </si>
  <si>
    <t>CO(mcg)</t>
  </si>
  <si>
    <t>MN(mg)</t>
  </si>
  <si>
    <t>PB(mcg)</t>
  </si>
  <si>
    <t>VITA_RAE(mcg)</t>
  </si>
  <si>
    <t>VITA(mcg)</t>
  </si>
  <si>
    <t>CARTBEQ(mcg)</t>
  </si>
  <si>
    <t>CARTB(mcg)</t>
  </si>
  <si>
    <t>CARTBCIS(mcg)</t>
  </si>
  <si>
    <t>LUTN(mcg)</t>
  </si>
  <si>
    <t>NEOX(mcg)</t>
  </si>
  <si>
    <t>VIOLX(mcg)</t>
  </si>
  <si>
    <t>FOL-(mcg)</t>
  </si>
  <si>
    <t>VITC(mg)</t>
  </si>
  <si>
    <t>ASCL(mg)</t>
  </si>
  <si>
    <t>ASCDL(mg)</t>
  </si>
  <si>
    <t>VITC-(mg)</t>
  </si>
  <si>
    <t>AAT18(mg)</t>
  </si>
  <si>
    <t>ASP(mg)</t>
  </si>
  <si>
    <t>PHYTAC(mg)</t>
  </si>
  <si>
    <t>OXALAC(mg)</t>
  </si>
  <si>
    <t>KAEMF(mcg)</t>
  </si>
  <si>
    <t>ISOHA(mcg)</t>
  </si>
  <si>
    <t>TAN(mg)</t>
  </si>
  <si>
    <t>SAPON(mg)</t>
  </si>
  <si>
    <t>Energy (original as from soource)</t>
  </si>
  <si>
    <t>Dry matter</t>
  </si>
  <si>
    <t xml:space="preserve">conversion factor to calculate total protein from nitrogen </t>
  </si>
  <si>
    <t>Protein, total, method of determination unknown or mixed</t>
  </si>
  <si>
    <t>Fat, total, method of determination unknown or mixed methods</t>
  </si>
  <si>
    <t>carbohydrate; method unknown or variable</t>
  </si>
  <si>
    <t>Sugar</t>
  </si>
  <si>
    <t>Fibre, total dietary; determined gravimetrically by the AOAC total dietary fibre method (Prosky and similar methods)</t>
  </si>
  <si>
    <t>Fibre; method of determination unknown or mixed methods</t>
  </si>
  <si>
    <t>Aluminium</t>
  </si>
  <si>
    <t>Cobalt</t>
  </si>
  <si>
    <t>Iron</t>
  </si>
  <si>
    <t>Manganese</t>
  </si>
  <si>
    <t>Lead</t>
  </si>
  <si>
    <t>Vitamin A; retinol activity equivalent</t>
  </si>
  <si>
    <t>Vitamin A; calculated by summation of the vitamin A activities of retinol and the active carotenoids</t>
  </si>
  <si>
    <t>Beta-carotene equivalents</t>
  </si>
  <si>
    <t>Beta-carotene</t>
  </si>
  <si>
    <t>Beta-carotene cis</t>
  </si>
  <si>
    <t>Lutein</t>
  </si>
  <si>
    <t>Neoxanthin</t>
  </si>
  <si>
    <t>Violaxanthin (mcg)</t>
  </si>
  <si>
    <t>Unknown method</t>
  </si>
  <si>
    <t xml:space="preserve">Vitamin C </t>
  </si>
  <si>
    <t>L-ascorbic acid</t>
  </si>
  <si>
    <t>L-dehydroascorbic acid</t>
  </si>
  <si>
    <t>Sum of 18 amino acids (excluding glutamine and asparagine)</t>
  </si>
  <si>
    <t>Aspartic acid</t>
  </si>
  <si>
    <t>Phytic acid</t>
  </si>
  <si>
    <t>Oxalic acid</t>
  </si>
  <si>
    <t>Kaempferol</t>
  </si>
  <si>
    <t>Isohamnetin</t>
  </si>
  <si>
    <t>Quercetin</t>
  </si>
  <si>
    <t>Tannins total</t>
  </si>
  <si>
    <t>Saponin</t>
  </si>
  <si>
    <t>0500355</t>
  </si>
  <si>
    <t>Guatemala, Alta Verapaz</t>
  </si>
  <si>
    <t>Txoloj</t>
  </si>
  <si>
    <t>Bell tree dahlia, raw</t>
  </si>
  <si>
    <t>Dahlia imperialis Roezl</t>
  </si>
  <si>
    <t>Jun, Nov, Dec</t>
  </si>
  <si>
    <t xml:space="preserve">From San Pedro Carcha municipality, consumed by Kekchi-speaking community </t>
  </si>
  <si>
    <t>ve4</t>
  </si>
  <si>
    <t>0500356</t>
  </si>
  <si>
    <t>Bell tree dahlia, cooked</t>
  </si>
  <si>
    <t>From San Pedro Carcha municipality, consumed by Kekchi-speaking community, Cooked, leaves boiled, drained &amp; fried in lard or oil</t>
  </si>
  <si>
    <t>0500357</t>
  </si>
  <si>
    <t>Samat</t>
  </si>
  <si>
    <t>Green leafy vegetables, raw</t>
  </si>
  <si>
    <t>Eryngium foetidum L</t>
  </si>
  <si>
    <t>0500358</t>
  </si>
  <si>
    <t>Green leafy vegetables, cooked</t>
  </si>
  <si>
    <t>From San Pedro Carcha municipality, consumed by Kekchi-speaking community, Cooked, leaves boiled in meat broth</t>
  </si>
  <si>
    <t>0500359</t>
  </si>
  <si>
    <t>Yerba buena</t>
  </si>
  <si>
    <t>Mint, raw</t>
  </si>
  <si>
    <t>Mentha citrata Ehrh</t>
  </si>
  <si>
    <t>From San Pedro Carcha municipality, consumed by Kekchi-speaking community</t>
  </si>
  <si>
    <t>0500360</t>
  </si>
  <si>
    <t>Mint, cooked</t>
  </si>
  <si>
    <t>From San Pedro Carcha municipality, consumed by Kekchi-speaking community, cooked, boiled in meat broth</t>
  </si>
  <si>
    <t>0500361</t>
  </si>
  <si>
    <t xml:space="preserve">Perejil (Spanish name but also used by Kekchi people) </t>
  </si>
  <si>
    <t>Parsley, raw</t>
  </si>
  <si>
    <t>Petroselinum crispum Nym</t>
  </si>
  <si>
    <t>0500362</t>
  </si>
  <si>
    <t>From San Pedro Carcha municipality, consumed by Kekchi-speaking community, cooked, boiled in water leaves and liquid is consumed</t>
  </si>
  <si>
    <t>0500363</t>
  </si>
  <si>
    <t>Tziton</t>
  </si>
  <si>
    <t>Tinantia erecta Jacq</t>
  </si>
  <si>
    <t>0500364</t>
  </si>
  <si>
    <t xml:space="preserve">Frijol (Spanish name but also used by Kekchi people) </t>
  </si>
  <si>
    <t>Cowpea, raw</t>
  </si>
  <si>
    <t>Vigna sesquipedalis Fruwirth</t>
  </si>
  <si>
    <t>0500365</t>
  </si>
  <si>
    <t>Osh</t>
  </si>
  <si>
    <t>Malanga, raw</t>
  </si>
  <si>
    <t>Xanthosoma violaceum Schott</t>
  </si>
  <si>
    <t>0500366</t>
  </si>
  <si>
    <t xml:space="preserve">Tanzania </t>
  </si>
  <si>
    <t>Asystasia, raw</t>
  </si>
  <si>
    <t>Asystasia gangetica</t>
  </si>
  <si>
    <t>ve7</t>
  </si>
  <si>
    <t>0500367</t>
  </si>
  <si>
    <t>Asystasia,boiled</t>
  </si>
  <si>
    <t>Leaves boiled in an slight excess of water which is then disgarded</t>
  </si>
  <si>
    <t>0500368</t>
  </si>
  <si>
    <t>Leaves boiled using very little water</t>
  </si>
  <si>
    <t>0500369</t>
  </si>
  <si>
    <t>Mustard greens, raw</t>
  </si>
  <si>
    <t>Brassica juncea</t>
  </si>
  <si>
    <t>0500370</t>
  </si>
  <si>
    <t>Mustard greens, boiled</t>
  </si>
  <si>
    <t>0500371</t>
  </si>
  <si>
    <t>0500372</t>
  </si>
  <si>
    <t>Tassel flower, raw</t>
  </si>
  <si>
    <t>Emilia javanica</t>
  </si>
  <si>
    <t>0500373</t>
  </si>
  <si>
    <t>Tassel flower, boiled</t>
  </si>
  <si>
    <t>0500374</t>
  </si>
  <si>
    <t>0500375</t>
  </si>
  <si>
    <t>Water williow, raw</t>
  </si>
  <si>
    <t>Justicia insularis</t>
  </si>
  <si>
    <t>0500376</t>
  </si>
  <si>
    <t>Water williow, boiled</t>
  </si>
  <si>
    <t>0500377</t>
  </si>
  <si>
    <t>0500378</t>
  </si>
  <si>
    <t>Daasanach</t>
  </si>
  <si>
    <t>Launaea cornuta</t>
  </si>
  <si>
    <t>0500379</t>
  </si>
  <si>
    <t>Green leafy vegetables, boiled</t>
  </si>
  <si>
    <t>0500380</t>
  </si>
  <si>
    <t>0500381</t>
  </si>
  <si>
    <t>Bladder leaves, raw</t>
  </si>
  <si>
    <t>Physalis peruviana</t>
  </si>
  <si>
    <t>0500382</t>
  </si>
  <si>
    <t>Bladder leaves, boiled</t>
  </si>
  <si>
    <t>0500383</t>
  </si>
  <si>
    <t>0500384</t>
  </si>
  <si>
    <t xml:space="preserve">Knotgrass leaves, raw </t>
  </si>
  <si>
    <t>Polygonum plebeium</t>
  </si>
  <si>
    <t>0500385</t>
  </si>
  <si>
    <t>Knotgrass leaves, boiled</t>
  </si>
  <si>
    <t xml:space="preserve">Leaves boiled in an slight excess of water which is then disgarded </t>
  </si>
  <si>
    <t>0500386</t>
  </si>
  <si>
    <t xml:space="preserve">Leaves boiled using very little water </t>
  </si>
  <si>
    <t>0500387</t>
  </si>
  <si>
    <t>Polygonum salicifolium</t>
  </si>
  <si>
    <t>0500388</t>
  </si>
  <si>
    <t>0500389</t>
  </si>
  <si>
    <t>0500390</t>
  </si>
  <si>
    <t>Nigeria, Akure</t>
  </si>
  <si>
    <t>Ewuro-odo</t>
  </si>
  <si>
    <t xml:space="preserve">Green leafy vegetables, raw </t>
  </si>
  <si>
    <t>Structium sparejanophora</t>
  </si>
  <si>
    <t>Fresh green leafy vegetables rinsed in water and chopped into small pieces</t>
  </si>
  <si>
    <t>ve8</t>
  </si>
  <si>
    <t>0500391</t>
  </si>
  <si>
    <t>Green leafy vegetables, blanched and boiled</t>
  </si>
  <si>
    <t>Fresh green leafy vegetables rinsed in water and chopped into small pieces, blanched in 500ml of boiled water for 5 mins and then drained</t>
  </si>
  <si>
    <t>0500392</t>
  </si>
  <si>
    <t>Atetdaye</t>
  </si>
  <si>
    <t>Prince's feather,raw</t>
  </si>
  <si>
    <t>Amarantus cruentus</t>
  </si>
  <si>
    <t xml:space="preserve">Fresh green leafy vegetables rinsed in water and chopped into small pieces </t>
  </si>
  <si>
    <t>0500393</t>
  </si>
  <si>
    <t>Prince's feather, blanched and boiled</t>
  </si>
  <si>
    <t>0500394</t>
  </si>
  <si>
    <t>Ugu</t>
  </si>
  <si>
    <t>Fluted gourd leaves, raw</t>
  </si>
  <si>
    <t>Telfairia occidentalis</t>
  </si>
  <si>
    <t>0500395</t>
  </si>
  <si>
    <t>Fluted gourd leaves, blanched and boiled</t>
  </si>
  <si>
    <t>0500396</t>
  </si>
  <si>
    <t>Ewedu</t>
  </si>
  <si>
    <t>Jute leaves, raw</t>
  </si>
  <si>
    <t>Corchorus olitorus</t>
  </si>
  <si>
    <t>0500397</t>
  </si>
  <si>
    <t>Jute leaves, blanched and boiled</t>
  </si>
  <si>
    <t>0500398</t>
  </si>
  <si>
    <t>Ewuro</t>
  </si>
  <si>
    <t>Bitter leaf, raw</t>
  </si>
  <si>
    <t>Vernonia amygdalina</t>
  </si>
  <si>
    <t>0500399</t>
  </si>
  <si>
    <t>Bitter leaf, blanched and boiled</t>
  </si>
  <si>
    <t>0500400</t>
  </si>
  <si>
    <t>Efinrin</t>
  </si>
  <si>
    <t>African basil, raw</t>
  </si>
  <si>
    <t>Ocimum gratissimum</t>
  </si>
  <si>
    <t>0500401</t>
  </si>
  <si>
    <t>African basil, boiled</t>
  </si>
  <si>
    <t>0500402</t>
  </si>
  <si>
    <t>Pakistan</t>
  </si>
  <si>
    <t>Cabbage, dried</t>
  </si>
  <si>
    <t>Brassica oleracea var. capitata</t>
  </si>
  <si>
    <t>Fresh green leady vegetables washed with distilled water and dried in a stream of air, cut into small pieces and freeze dried</t>
  </si>
  <si>
    <t>ve9</t>
  </si>
  <si>
    <t>0500403</t>
  </si>
  <si>
    <t>Cabbage, cooked</t>
  </si>
  <si>
    <t>Fresh green leady vegetables washed with distilled water and dried in a stream of air, cut into small pieces and cooked in distilled water for 60 mins - traditional method</t>
  </si>
  <si>
    <t>0500404</t>
  </si>
  <si>
    <t>Colocasia, dried</t>
  </si>
  <si>
    <t>Colocasia esculentum</t>
  </si>
  <si>
    <t>0500405</t>
  </si>
  <si>
    <t>Colocasia, cooked</t>
  </si>
  <si>
    <t xml:space="preserve"> Fresh green leady vegetables washed with distilled water and dried in a stream of air, cut into small pieces and cooked in distilled water for 60 mins - traditional method</t>
  </si>
  <si>
    <t>0500406</t>
  </si>
  <si>
    <t>Cauliflower, dried</t>
  </si>
  <si>
    <t>Brassica oleracea var. botrytis</t>
  </si>
  <si>
    <t>0500407</t>
  </si>
  <si>
    <t>Cauliflower, cooked</t>
  </si>
  <si>
    <t>0500408</t>
  </si>
  <si>
    <t>Gand gobhi</t>
  </si>
  <si>
    <t>Green leafy vegetable, dried</t>
  </si>
  <si>
    <t>Brassica oleracea var. caulorapa</t>
  </si>
  <si>
    <t>0500409</t>
  </si>
  <si>
    <t>Green leafy vegetable, cooked</t>
  </si>
  <si>
    <t>0500410</t>
  </si>
  <si>
    <t>Spinach, dried</t>
  </si>
  <si>
    <t>Spinacea olerace</t>
  </si>
  <si>
    <t>0500411</t>
  </si>
  <si>
    <t>Spinach, cooked</t>
  </si>
  <si>
    <t>0500412</t>
  </si>
  <si>
    <t>Bangladesh, Zinjira, suburb of Dhaka City</t>
  </si>
  <si>
    <t>Helencha sak</t>
  </si>
  <si>
    <t>Harkuch leaves, raw</t>
  </si>
  <si>
    <t>Enhydra fluctuans</t>
  </si>
  <si>
    <t>Oct</t>
  </si>
  <si>
    <t>ve11</t>
  </si>
  <si>
    <t>[8200]</t>
  </si>
  <si>
    <t>0500413</t>
  </si>
  <si>
    <t xml:space="preserve">Lal sak </t>
  </si>
  <si>
    <t>Pigweed leaves, raw</t>
  </si>
  <si>
    <t xml:space="preserve">Amaranthus gangeticus </t>
  </si>
  <si>
    <t>[8000]</t>
  </si>
  <si>
    <t>0500414</t>
  </si>
  <si>
    <t>[7850]</t>
  </si>
  <si>
    <t>0500415</t>
  </si>
  <si>
    <t>Pigweed leaves, cooked</t>
  </si>
  <si>
    <t>Leaves are chopped into small pieces and washed, heated for 7-9 mins in water adhering to the leaves, the fluid which is collected at the bottom is disgarded - leaves are added to pot with salt onion garlic &amp;chillies the mixture is fried in oil for 4-6 mins - rural bangladesh method</t>
  </si>
  <si>
    <t>[5400]</t>
  </si>
  <si>
    <t>0500416</t>
  </si>
  <si>
    <t>[8170]</t>
  </si>
  <si>
    <t>0500417</t>
  </si>
  <si>
    <t>Leaves are chopped into small pieces and washed, salt, oil and spices added and then boiled for 8-10 mins with the lid on, the lid is opened to allow evaporation - rural &amp; urban bangladesh method</t>
  </si>
  <si>
    <t>[7200]</t>
  </si>
  <si>
    <t>0500418</t>
  </si>
  <si>
    <t>Mula sak</t>
  </si>
  <si>
    <t>Radish leaves, raw</t>
  </si>
  <si>
    <t>Raphanus sativus</t>
  </si>
  <si>
    <t>[6300]</t>
  </si>
  <si>
    <t>0500419</t>
  </si>
  <si>
    <t>[7190]</t>
  </si>
  <si>
    <t>0500420</t>
  </si>
  <si>
    <t>Radish leaves, cooked</t>
  </si>
  <si>
    <t>[4300]</t>
  </si>
  <si>
    <t>0500421</t>
  </si>
  <si>
    <t>[6890]</t>
  </si>
  <si>
    <t>0500422</t>
  </si>
  <si>
    <t>[5900]</t>
  </si>
  <si>
    <t>0500423</t>
  </si>
  <si>
    <t>Palang sak</t>
  </si>
  <si>
    <t>Spinach, raw</t>
  </si>
  <si>
    <t>[6400]</t>
  </si>
  <si>
    <t>0500424</t>
  </si>
  <si>
    <t>[7340]</t>
  </si>
  <si>
    <t>0500425</t>
  </si>
  <si>
    <t>[4200]</t>
  </si>
  <si>
    <t>0500426</t>
  </si>
  <si>
    <t>[5910]</t>
  </si>
  <si>
    <t>0500427</t>
  </si>
  <si>
    <t>[5300]</t>
  </si>
  <si>
    <t>0500428</t>
  </si>
  <si>
    <t>Motor sak</t>
  </si>
  <si>
    <t>English pea leaves, raw</t>
  </si>
  <si>
    <t>Pisum sativus</t>
  </si>
  <si>
    <t>[8900]</t>
  </si>
  <si>
    <t>0500429</t>
  </si>
  <si>
    <t>[8970]</t>
  </si>
  <si>
    <t>0500430</t>
  </si>
  <si>
    <t>English pea leaves, cooked</t>
  </si>
  <si>
    <t>[7960]</t>
  </si>
  <si>
    <t>0500431</t>
  </si>
  <si>
    <t>Kachu sak</t>
  </si>
  <si>
    <t>Elephant ear, raw</t>
  </si>
  <si>
    <t>Colocasia antiquorum</t>
  </si>
  <si>
    <t>0500432</t>
  </si>
  <si>
    <t>Kalmi sak</t>
  </si>
  <si>
    <t>Chinese spinach, raw</t>
  </si>
  <si>
    <t>Ipomoea reptans</t>
  </si>
  <si>
    <t>[8300]</t>
  </si>
  <si>
    <t>0500433</t>
  </si>
  <si>
    <t>Lau sak</t>
  </si>
  <si>
    <t>Bottle gourd, raw</t>
  </si>
  <si>
    <t>Langenaria vulgaris</t>
  </si>
  <si>
    <t>[6600]</t>
  </si>
  <si>
    <t>0500434</t>
  </si>
  <si>
    <t>Pat sak</t>
  </si>
  <si>
    <t>Mallow, raw</t>
  </si>
  <si>
    <t>Chorchorus capsularis</t>
  </si>
  <si>
    <t>[10000]</t>
  </si>
  <si>
    <t>0500435</t>
  </si>
  <si>
    <t>Sharisha sak</t>
  </si>
  <si>
    <t>Field mustard, raw</t>
  </si>
  <si>
    <t>Brassica campestris</t>
  </si>
  <si>
    <t>[8800]</t>
  </si>
  <si>
    <t>0500436</t>
  </si>
  <si>
    <t>Sharisha phool (flower)</t>
  </si>
  <si>
    <t>[16000]</t>
  </si>
  <si>
    <t>0500437</t>
  </si>
  <si>
    <t>India</t>
  </si>
  <si>
    <t>Shallow fried in a non-iron pan with vegetable oil, salt, turmeric powder, chilli powder, coriander powder, cumin &amp; tomato, then left in the pan for an hour as is usual practice</t>
  </si>
  <si>
    <t>ve16</t>
  </si>
  <si>
    <t>0500438</t>
  </si>
  <si>
    <t>Shallow fried in an iron pan with vegetable oil, salt, turmeric powder, chilli powder, coriander powder, cumin &amp; tomato, then left in the pan for an hour as is usual practice</t>
  </si>
  <si>
    <t>0500439</t>
  </si>
  <si>
    <t>0500440</t>
  </si>
  <si>
    <t>0500441</t>
  </si>
  <si>
    <t>Bottle gourd</t>
  </si>
  <si>
    <t>Calabash, cooked</t>
  </si>
  <si>
    <t>Lagenaria vulgaris</t>
  </si>
  <si>
    <t>0500442</t>
  </si>
  <si>
    <t>0500443</t>
  </si>
  <si>
    <t>Brazil (South), Sao Paulo, Campinas</t>
  </si>
  <si>
    <t>Butterhead lettuce, dried</t>
  </si>
  <si>
    <t>Lactuca sativa</t>
  </si>
  <si>
    <t>Raw leaves were washed and then dried</t>
  </si>
  <si>
    <t>ve17</t>
  </si>
  <si>
    <t>0500444</t>
  </si>
  <si>
    <t>Rucola, Raw leaves, dried</t>
  </si>
  <si>
    <t>Eruca sativa</t>
  </si>
  <si>
    <t>Leaves were washed and then dried</t>
  </si>
  <si>
    <t>0500445</t>
  </si>
  <si>
    <t>Watercress, dried</t>
  </si>
  <si>
    <t>Nasturtium officinale</t>
  </si>
  <si>
    <t>0500446</t>
  </si>
  <si>
    <t>Kale, dried</t>
  </si>
  <si>
    <t>Brassica oleracea var. acephala</t>
  </si>
  <si>
    <t>0500447</t>
  </si>
  <si>
    <t>Raw leaves were washed, dried and then cooked under dry heat</t>
  </si>
  <si>
    <t>0500448</t>
  </si>
  <si>
    <t>Chinese cabbage, dried</t>
  </si>
  <si>
    <t>Brassica chinensis</t>
  </si>
  <si>
    <t>0500449</t>
  </si>
  <si>
    <t>0500450</t>
  </si>
  <si>
    <t>0500451</t>
  </si>
  <si>
    <t>0500452</t>
  </si>
  <si>
    <t>Spinach substitute, dried</t>
  </si>
  <si>
    <t>Tetragonia expansa</t>
  </si>
  <si>
    <t>0500453</t>
  </si>
  <si>
    <t>India, New Delhi</t>
  </si>
  <si>
    <t>Pusa kiran</t>
  </si>
  <si>
    <t>Amaranth, raw</t>
  </si>
  <si>
    <t>Amaranthus tricolor</t>
  </si>
  <si>
    <t>ve18</t>
  </si>
  <si>
    <t>0500454</t>
  </si>
  <si>
    <t>Amaranth, blanched in water</t>
  </si>
  <si>
    <t>0500455</t>
  </si>
  <si>
    <t>Amaranth, blanched</t>
  </si>
  <si>
    <t>Blanched in plain water followed by potassium metabisulphite dip for 1 min</t>
  </si>
  <si>
    <t>0500456</t>
  </si>
  <si>
    <t>Amaranth, blanched in saltwater</t>
  </si>
  <si>
    <t>0500457</t>
  </si>
  <si>
    <t xml:space="preserve">Blanched in plain water containing salt followed by KMS dip for 1 min </t>
  </si>
  <si>
    <t>0500458</t>
  </si>
  <si>
    <t xml:space="preserve">Blanched in mixture of sodiumbicarbonate, magnesium oxide and KMS at (%C for times ranging from 30 secs - 180 secs </t>
  </si>
  <si>
    <t>0500459</t>
  </si>
  <si>
    <t>Amaranth, dried (sun)</t>
  </si>
  <si>
    <t>0500460</t>
  </si>
  <si>
    <t>Amaranth, dried (solar)</t>
  </si>
  <si>
    <t>0500461</t>
  </si>
  <si>
    <t>Amaranth, dried (shade)</t>
  </si>
  <si>
    <t>0500462</t>
  </si>
  <si>
    <t>Amaranth, dried (cabinet)</t>
  </si>
  <si>
    <t>Cabinet (65C)</t>
  </si>
  <si>
    <t>0500463</t>
  </si>
  <si>
    <t>Amaranth, dried (low temperature)</t>
  </si>
  <si>
    <t>Low temperature (30C)</t>
  </si>
  <si>
    <t>0500464</t>
  </si>
  <si>
    <t>India, Mysore, Manasagangotri</t>
  </si>
  <si>
    <t>Cleaned and washed, cut into small pieces on a wooden chopping board</t>
  </si>
  <si>
    <t>ve21</t>
  </si>
  <si>
    <t>0500465</t>
  </si>
  <si>
    <t>Amaranth, cooked</t>
  </si>
  <si>
    <t>Cleaned and washed, cut into small pieces on a wooden chopping board - Cooked in an steel vessel using an open pan method for 26 mins in 350ml water until soft to touch</t>
  </si>
  <si>
    <t>0500466</t>
  </si>
  <si>
    <t>Cleaned and washed, cut into small pieces on a wooden chopping board - Cooked in an iron vessel using an open pan method for 23 mins in 350ml water until soft to touch</t>
  </si>
  <si>
    <t>0500467</t>
  </si>
  <si>
    <t>Cleaned and washed, cut into small pieces on a wooden chopping board - Cooked in an aluminium vessel using an open pan method for 25 mins in 450ml water until soft to touch</t>
  </si>
  <si>
    <t>0500468</t>
  </si>
  <si>
    <t>Kilkeerai</t>
  </si>
  <si>
    <t>Green leafy vegetable, raw</t>
  </si>
  <si>
    <t xml:space="preserve">Cleaned and washed, cut into small pieces on a wooden chopping board </t>
  </si>
  <si>
    <t>0500469</t>
  </si>
  <si>
    <t>Cleaned and washed, cut into small pieces on a wooden chopping board - Cooked in an steel vessel using an open pan method for 52 mins in 350ml water until soft to touch</t>
  </si>
  <si>
    <t>0500470</t>
  </si>
  <si>
    <t>Cleaned and washed, cut into small pieces on a wooden chopping board - Cooked in an iron vessel using an open pan method for 37 mins in 300ml water until soft to touch</t>
  </si>
  <si>
    <t>0500471</t>
  </si>
  <si>
    <t>Cleaned and washed, cut into small pieces on a wooden chopping board - Cooked in an aluminium vessel using an open pan method for 41 mins in 300ml water until soft to touch</t>
  </si>
  <si>
    <t>0500472</t>
  </si>
  <si>
    <t>Shepu</t>
  </si>
  <si>
    <t>Peucedanum graveolens</t>
  </si>
  <si>
    <t>0500473</t>
  </si>
  <si>
    <t>Cleaned and washed, cut into small pieces on a wooden chopping board - Cooked in an steel vessel using an open pan method for 51 mins in 200ml water until soft to touch</t>
  </si>
  <si>
    <t>0500474</t>
  </si>
  <si>
    <t>Cleaned and washed, cut into small pieces on a wooden chopping board - Cooked in an iron vessel using an open pan method for 44 mins in 200ml water until soft to touch</t>
  </si>
  <si>
    <t>0500475</t>
  </si>
  <si>
    <t>Cleaned and washed, cut into small pieces on a wooden chopping board - Cooked in an aluminium vessel using an open pan method for 46 mins in 400ml water until soft to touch</t>
  </si>
  <si>
    <t>0500476</t>
  </si>
  <si>
    <t>India, Pune</t>
  </si>
  <si>
    <t>Shepu leaves, cooked</t>
  </si>
  <si>
    <t>Cleaned and traditionally cooked via either method I - shallow fried using onions, chilli, salt and oil OR method II - In a curry using gram flour tamarind juice (Jaggery)</t>
  </si>
  <si>
    <t>ve22</t>
  </si>
  <si>
    <t>0500477</t>
  </si>
  <si>
    <t>Mentha spicata</t>
  </si>
  <si>
    <t>0500478</t>
  </si>
  <si>
    <t>Spinacea oleracea</t>
  </si>
  <si>
    <t>0500479</t>
  </si>
  <si>
    <t>0500480</t>
  </si>
  <si>
    <t>Ambat chuka</t>
  </si>
  <si>
    <t>Rumex vasicarius</t>
  </si>
  <si>
    <t>0500481</t>
  </si>
  <si>
    <t>Brassica oleracea</t>
  </si>
  <si>
    <t>0500482</t>
  </si>
  <si>
    <t>Fetid cassia</t>
  </si>
  <si>
    <t>Cassia tora</t>
  </si>
  <si>
    <t>0500483</t>
  </si>
  <si>
    <t>Lettuce, raw</t>
  </si>
  <si>
    <t>0500484</t>
  </si>
  <si>
    <t>Gohl</t>
  </si>
  <si>
    <t>Portulaca oleracea</t>
  </si>
  <si>
    <t>0500485</t>
  </si>
  <si>
    <t>Mustard leaves, cooked</t>
  </si>
  <si>
    <t>0500486</t>
  </si>
  <si>
    <t>Harbhara</t>
  </si>
  <si>
    <t>Cicer arietinum</t>
  </si>
  <si>
    <t>0500487</t>
  </si>
  <si>
    <t>Currypatta, cooked</t>
  </si>
  <si>
    <t>Murraya koenigii</t>
  </si>
  <si>
    <t>0500488</t>
  </si>
  <si>
    <t>Red amaranth, cooked</t>
  </si>
  <si>
    <t>0500489</t>
  </si>
  <si>
    <t>Cabbage,cooked</t>
  </si>
  <si>
    <t xml:space="preserve"> Cleaned and traditionally cooked via either method I - shallow fried using onions, chilli, salt and oil OR method II - In a curry using gram flour tamarind juice (Jaggery)</t>
  </si>
  <si>
    <t>0500490</t>
  </si>
  <si>
    <t>Onion stalk leaves, cooked</t>
  </si>
  <si>
    <t>Allium cepa</t>
  </si>
  <si>
    <t>0500491</t>
  </si>
  <si>
    <t>Cameroon, Ngaoundere</t>
  </si>
  <si>
    <t>Muop / Ndole</t>
  </si>
  <si>
    <t xml:space="preserve">Bitter leaf, raw </t>
  </si>
  <si>
    <t>e</t>
  </si>
  <si>
    <t>Vernonia Calvoana</t>
  </si>
  <si>
    <t>Dry season</t>
  </si>
  <si>
    <t>Rinsed in water to remove dust, sorted and diced</t>
  </si>
  <si>
    <t>ve25</t>
  </si>
  <si>
    <t>[0.231308224]</t>
  </si>
  <si>
    <t>[0.04275152]</t>
  </si>
  <si>
    <t>[0.037801344]</t>
  </si>
  <si>
    <t>[0.044551584]</t>
  </si>
  <si>
    <t>[0.006300224]</t>
  </si>
  <si>
    <t>[0.070652512]</t>
  </si>
  <si>
    <t>[0.026550944]</t>
  </si>
  <si>
    <t>[0.043201536]</t>
  </si>
  <si>
    <t>[0.042301504]</t>
  </si>
  <si>
    <t>[0.039601408]</t>
  </si>
  <si>
    <t>[0.00675024]</t>
  </si>
  <si>
    <t>[0.034651232]</t>
  </si>
  <si>
    <t>[0.031051104]</t>
  </si>
  <si>
    <t>[0.02475088]</t>
  </si>
  <si>
    <t>[0.00450016]</t>
  </si>
  <si>
    <t>[0.010800384]</t>
  </si>
  <si>
    <t>0500492</t>
  </si>
  <si>
    <t>Non-bitter leaf, raw</t>
  </si>
  <si>
    <t>[0.21377664]</t>
  </si>
  <si>
    <t>[0.03690192]</t>
  </si>
  <si>
    <t>[0.03647776]</t>
  </si>
  <si>
    <t>[0.03223616]</t>
  </si>
  <si>
    <t>[0.00551408]</t>
  </si>
  <si>
    <t>[0.07168304]</t>
  </si>
  <si>
    <t>[0.02460128]</t>
  </si>
  <si>
    <t>[0.042416]</t>
  </si>
  <si>
    <t>[0.02714624]</t>
  </si>
  <si>
    <t>[0.04199184]</t>
  </si>
  <si>
    <t>[0.031812]</t>
  </si>
  <si>
    <t>[0.00593824]</t>
  </si>
  <si>
    <t>[0.03011536]</t>
  </si>
  <si>
    <t>[0.03053952]</t>
  </si>
  <si>
    <t>[0.02163216]</t>
  </si>
  <si>
    <t>[0.01781472]</t>
  </si>
  <si>
    <t>[0.01399728]</t>
  </si>
  <si>
    <t>[0.03350864]</t>
  </si>
  <si>
    <t>0500493</t>
  </si>
  <si>
    <t>South Africa</t>
  </si>
  <si>
    <t>Misbredie, raw</t>
  </si>
  <si>
    <t>May</t>
  </si>
  <si>
    <t>Wash whole leaves</t>
  </si>
  <si>
    <t>ve26</t>
  </si>
  <si>
    <t>0500494</t>
  </si>
  <si>
    <t xml:space="preserve">Misbredie, cooked </t>
  </si>
  <si>
    <t>Wash whole leaves and add 119 g to 350ml of boiling water for 15 mins - pot covered</t>
  </si>
  <si>
    <t>0500495</t>
  </si>
  <si>
    <t>Nigeria, Uyo, farms at Aka, Afaha, Offot, Mbak, Ikpa, Ikot oku Nsit, Afaha ube</t>
  </si>
  <si>
    <t>Slippery vine, raw</t>
  </si>
  <si>
    <t>Jun</t>
  </si>
  <si>
    <t>ve27</t>
  </si>
  <si>
    <t>0500496</t>
  </si>
  <si>
    <t xml:space="preserve">Slippery vine, blanched </t>
  </si>
  <si>
    <t>Blanched in hot water at 100C for 5 -6 mins and rapidly cooled to 2C in a freezer</t>
  </si>
  <si>
    <t>0500497</t>
  </si>
  <si>
    <t>Slippery vine, dried (sun)</t>
  </si>
  <si>
    <t>Sundried fro 5 hours daily for two days at 30-32C and room temperature</t>
  </si>
  <si>
    <t>0500498</t>
  </si>
  <si>
    <t>Slippery vine, cooked</t>
  </si>
  <si>
    <t>Soup made with meat, salt onions, maggi, vegetables, oil and boiled for 65 mins</t>
  </si>
  <si>
    <t>0500499</t>
  </si>
  <si>
    <t>Madagascar, Antananarivo, Manjakaray II C</t>
  </si>
  <si>
    <t>Anatsonga - Malagasy name</t>
  </si>
  <si>
    <t>Brassica chinensis var. parachinensis</t>
  </si>
  <si>
    <t>Cooked with tomatoes, onions, soy oil, salt and water - fried drained boiled for 39.8 mins</t>
  </si>
  <si>
    <t>ve29</t>
  </si>
  <si>
    <t>0500500</t>
  </si>
  <si>
    <t>Ramirebaka - Malagasy name</t>
  </si>
  <si>
    <t>Brassica pekinensis var. lour</t>
  </si>
  <si>
    <t>Cooked with tomatoes, onions, soy oil, salt, garlic, jumbo cube and water - fried, blanched, drained boiled for 35.9 mins</t>
  </si>
  <si>
    <t>0500501</t>
  </si>
  <si>
    <t>Petsay - Malagasy name</t>
  </si>
  <si>
    <t xml:space="preserve">Chinese cabbage, cooked </t>
  </si>
  <si>
    <t>Brassica sinensis</t>
  </si>
  <si>
    <t>Cooked with soy oil, salt, garlic, jumbo cube, ginger, pepper and water - fried, blanched, drained boiled for 35.1 mins</t>
  </si>
  <si>
    <t>0500502</t>
  </si>
  <si>
    <t>Anandrano - Malagasy name</t>
  </si>
  <si>
    <t>Watercress, cooked</t>
  </si>
  <si>
    <t>Cooked with tomatoes, onionssoy oil, salt, garlic, jumbo cube and water - fried, drained boiled for 29.5 mins</t>
  </si>
  <si>
    <t>0500503</t>
  </si>
  <si>
    <t>Tisam - Malagasy name</t>
  </si>
  <si>
    <t>Cooked with tomatoes, onions, soy oil, salt, garlic, jumbo cube and water - fried, drained boiled for 35.2 mins</t>
  </si>
  <si>
    <t>0500504</t>
  </si>
  <si>
    <t>Ravim-bomanga - Malagasy name</t>
  </si>
  <si>
    <t xml:space="preserve">Sweet potatoe leaves, cooked  </t>
  </si>
  <si>
    <t>Ipomoea batatas L. Lam</t>
  </si>
  <si>
    <t>Cooked with tomatoes, onions, soy oil, salt, garlic, jumbo cube and water - fried drained boiled for 39.8 mins</t>
  </si>
  <si>
    <t>0500505</t>
  </si>
  <si>
    <t>Nigeria, Port Harcourt, Aba-road</t>
  </si>
  <si>
    <t>Green leaf, dried</t>
  </si>
  <si>
    <t xml:space="preserve">Leaf at early stage; sun dried and then further dried in an oven at 80C for 12 hours </t>
  </si>
  <si>
    <t>ve32</t>
  </si>
  <si>
    <t>0500506</t>
  </si>
  <si>
    <t>Green leaf, cooked</t>
  </si>
  <si>
    <t>Leaf at early stage; cooked to tenderness in boiling water for 5 mins, then water was then disgarded - then further dried in an oven at 80C for 12 hours</t>
  </si>
  <si>
    <t>0500507</t>
  </si>
  <si>
    <t>Fluted pumpkin leaf, dried</t>
  </si>
  <si>
    <t>Telfairea occidentalis</t>
  </si>
  <si>
    <t>0500508</t>
  </si>
  <si>
    <t>Fluted pumpkin leaf, cooked</t>
  </si>
  <si>
    <t>0500509</t>
  </si>
  <si>
    <t>Oha leaf</t>
  </si>
  <si>
    <t>Pterocarpus soyankii</t>
  </si>
  <si>
    <t>0500510</t>
  </si>
  <si>
    <t>0500511</t>
  </si>
  <si>
    <t>USA, Alabama, Hazel green</t>
  </si>
  <si>
    <t>Canola, raw</t>
  </si>
  <si>
    <t>Brassica napus L</t>
  </si>
  <si>
    <t>Feb</t>
  </si>
  <si>
    <t>Rosette stage</t>
  </si>
  <si>
    <t>ve33</t>
  </si>
  <si>
    <t>0500512</t>
  </si>
  <si>
    <t>Kale, raw</t>
  </si>
  <si>
    <t>Brassica oleraceae var. acephala</t>
  </si>
  <si>
    <t>0500513</t>
  </si>
  <si>
    <t>Collard greens, raw</t>
  </si>
  <si>
    <t>Brassica oleraceae var. viridis</t>
  </si>
  <si>
    <t>0500514</t>
  </si>
  <si>
    <t>Cabbage, raw</t>
  </si>
  <si>
    <t>0500515</t>
  </si>
  <si>
    <t>Brassica napus var. abilene</t>
  </si>
  <si>
    <t>0500516</t>
  </si>
  <si>
    <t>Brassica napus var. jetton</t>
  </si>
  <si>
    <t>0500517</t>
  </si>
  <si>
    <t>Brassica napus var. kronos</t>
  </si>
  <si>
    <t>0500518</t>
  </si>
  <si>
    <t>Canola, dried</t>
  </si>
  <si>
    <t>Brassica napus var. virginia</t>
  </si>
  <si>
    <t>0500519</t>
  </si>
  <si>
    <t>Brassica napus wichita</t>
  </si>
  <si>
    <t>0500520</t>
  </si>
  <si>
    <t>Nigeria, Akure metropolis</t>
  </si>
  <si>
    <t>Solanum africana</t>
  </si>
  <si>
    <t>March</t>
  </si>
  <si>
    <t>Sun-dried</t>
  </si>
  <si>
    <t>ve35</t>
  </si>
  <si>
    <t>0500521</t>
  </si>
  <si>
    <t>USA, Alabama, Tuskegee</t>
  </si>
  <si>
    <t>Brassica oleracea var. viridis</t>
  </si>
  <si>
    <t>ve36</t>
  </si>
  <si>
    <t>0500522</t>
  </si>
  <si>
    <t>0500523</t>
  </si>
  <si>
    <t>Sweet potatoe greens, raw</t>
  </si>
  <si>
    <t>Ipomea batatas</t>
  </si>
  <si>
    <t>0500524</t>
  </si>
  <si>
    <t>South Africa, Kwazulu-Natal, Durban</t>
  </si>
  <si>
    <t>Imbuya</t>
  </si>
  <si>
    <t>Wild spinach, raw</t>
  </si>
  <si>
    <t>Amaranthus dubius</t>
  </si>
  <si>
    <t>ve40</t>
  </si>
  <si>
    <t>0500525</t>
  </si>
  <si>
    <t>Isihobo</t>
  </si>
  <si>
    <t>Hunter's spinach, raw</t>
  </si>
  <si>
    <t>0500526</t>
  </si>
  <si>
    <t>Udonqabathwa</t>
  </si>
  <si>
    <t>Wild foxglove, raw</t>
  </si>
  <si>
    <t>Ceratotheca triloba</t>
  </si>
  <si>
    <t>0500527</t>
  </si>
  <si>
    <t>Isiwisa</t>
  </si>
  <si>
    <t>Spindle-pod, raw</t>
  </si>
  <si>
    <t>Cleome monophylla</t>
  </si>
  <si>
    <t>0500528</t>
  </si>
  <si>
    <t>Uhufafa</t>
  </si>
  <si>
    <t>Jelly melon, raw</t>
  </si>
  <si>
    <t>Cucumis metuliferus</t>
  </si>
  <si>
    <t>0500529</t>
  </si>
  <si>
    <t>Inkunzane</t>
  </si>
  <si>
    <t>Devil's thorn, raw</t>
  </si>
  <si>
    <t>Emex australia</t>
  </si>
  <si>
    <t>0500530</t>
  </si>
  <si>
    <t>Ushukeyana</t>
  </si>
  <si>
    <t>Gallant soldier, raw</t>
  </si>
  <si>
    <t>Galinsoga parviflora</t>
  </si>
  <si>
    <t>0500531</t>
  </si>
  <si>
    <t>Ipela</t>
  </si>
  <si>
    <t>Yellow justicia, raw</t>
  </si>
  <si>
    <t>Justicia flava</t>
  </si>
  <si>
    <t>0500532</t>
  </si>
  <si>
    <t>Untabane</t>
  </si>
  <si>
    <t>Stars talk, raw</t>
  </si>
  <si>
    <t>Oxygonum sinuatum</t>
  </si>
  <si>
    <t>0500533</t>
  </si>
  <si>
    <t>Uqadolo</t>
  </si>
  <si>
    <t>Sticky gooseberry, raw</t>
  </si>
  <si>
    <t>Physalis viscosa</t>
  </si>
  <si>
    <t>0500534</t>
  </si>
  <si>
    <t>Isinyembane</t>
  </si>
  <si>
    <t>Coffee senna, raw</t>
  </si>
  <si>
    <t>Senna occidentalis</t>
  </si>
  <si>
    <t>0500535</t>
  </si>
  <si>
    <t>Umsobosobo</t>
  </si>
  <si>
    <t>Black nightshade, raw</t>
  </si>
  <si>
    <t>Solanum nodiflorum</t>
  </si>
  <si>
    <t>0500536</t>
  </si>
  <si>
    <t>Mexico, Mexico city</t>
  </si>
  <si>
    <t>Brocoli</t>
  </si>
  <si>
    <t>Broccoli leaves, raw</t>
  </si>
  <si>
    <t>ve43</t>
  </si>
  <si>
    <t>0500537</t>
  </si>
  <si>
    <t>Nopales</t>
  </si>
  <si>
    <t>Cactus leaf, raw</t>
  </si>
  <si>
    <t>Opuntia spp</t>
  </si>
  <si>
    <t>0500538</t>
  </si>
  <si>
    <t>Espinaca</t>
  </si>
  <si>
    <t>0500539</t>
  </si>
  <si>
    <t>Berros</t>
  </si>
  <si>
    <t>Watercress, raw</t>
  </si>
  <si>
    <t>Roripa nasturtium-aquaticum</t>
  </si>
  <si>
    <t>0500540</t>
  </si>
  <si>
    <t>Oregano</t>
  </si>
  <si>
    <t>Marjoram, raw</t>
  </si>
  <si>
    <t>Origanum vulgare</t>
  </si>
  <si>
    <t xml:space="preserve">Wild </t>
  </si>
  <si>
    <t>0500541</t>
  </si>
  <si>
    <t>Yerbabuena</t>
  </si>
  <si>
    <t>0500542</t>
  </si>
  <si>
    <t>Perejil</t>
  </si>
  <si>
    <t>0500543</t>
  </si>
  <si>
    <t>Ghana, Kumasi</t>
  </si>
  <si>
    <t>Kaka wie adwe</t>
  </si>
  <si>
    <t>Euphorbia hirta</t>
  </si>
  <si>
    <t>ve48</t>
  </si>
  <si>
    <t>0500544</t>
  </si>
  <si>
    <t>Iehowa dua</t>
  </si>
  <si>
    <t>Ipomoea involucrata</t>
  </si>
  <si>
    <t>0500545</t>
  </si>
  <si>
    <t>Wild lettuce, raw</t>
  </si>
  <si>
    <t>Launaea taxaracifolia</t>
  </si>
  <si>
    <t>0500546</t>
  </si>
  <si>
    <t>Cocoyam leaves, raw</t>
  </si>
  <si>
    <t>Xanthosoma mafaffa</t>
  </si>
  <si>
    <t>0500547</t>
  </si>
  <si>
    <t>India, Hisar (Haryand)</t>
  </si>
  <si>
    <t>ve50</t>
  </si>
  <si>
    <t>0500548</t>
  </si>
  <si>
    <t>0500549</t>
  </si>
  <si>
    <t>0500550</t>
  </si>
  <si>
    <t>Bengal gram, raw</t>
  </si>
  <si>
    <t>0500551</t>
  </si>
  <si>
    <t>Cauliflower, raw</t>
  </si>
  <si>
    <t>0500552</t>
  </si>
  <si>
    <t>0500553</t>
  </si>
  <si>
    <t>0500554</t>
  </si>
  <si>
    <t>0500555</t>
  </si>
  <si>
    <t>0500556</t>
  </si>
  <si>
    <t>0500557</t>
  </si>
  <si>
    <t>Romania</t>
  </si>
  <si>
    <t>Leaf parsley, raw</t>
  </si>
  <si>
    <t>During adulthood</t>
  </si>
  <si>
    <t>PROT- (according to AOAC 1190)</t>
  </si>
  <si>
    <t>ve51</t>
  </si>
  <si>
    <t>0500558</t>
  </si>
  <si>
    <t>Celery leaves, raw</t>
  </si>
  <si>
    <t>Anethum graveolens</t>
  </si>
  <si>
    <t>0500559</t>
  </si>
  <si>
    <t>0500560</t>
  </si>
  <si>
    <t>0500561</t>
  </si>
  <si>
    <t>India (Sout, local market)</t>
  </si>
  <si>
    <t>Amaranthus gangeticus</t>
  </si>
  <si>
    <t>PROT- (according to AOAC 1981)</t>
  </si>
  <si>
    <t>ve52</t>
  </si>
  <si>
    <t>0500562</t>
  </si>
  <si>
    <t>Conventional cooking (boiling, covered) in 100ml of water for 22mins</t>
  </si>
  <si>
    <t>0500563</t>
  </si>
  <si>
    <t>Amaranth, cooked (pressure)</t>
  </si>
  <si>
    <t>Pressure cooking in 85ml of water for 9 mins</t>
  </si>
  <si>
    <t>0500564</t>
  </si>
  <si>
    <t>Amaranth, cooked (microwave)</t>
  </si>
  <si>
    <t>Microwave cooking (covered, using high power only) in 85ml for 14mins</t>
  </si>
  <si>
    <t>0500565</t>
  </si>
  <si>
    <t>0500566</t>
  </si>
  <si>
    <t>Conventional cooking (boiling, covered) in 120ml of water for 18mins</t>
  </si>
  <si>
    <t>0500567</t>
  </si>
  <si>
    <t>Green leafy vegetables, cooked (pressure)</t>
  </si>
  <si>
    <t>Pressure cooking in 85ml of water for 8 mins</t>
  </si>
  <si>
    <t>0500568</t>
  </si>
  <si>
    <t>Green leafy vegetables, cooked (microwave)</t>
  </si>
  <si>
    <t>Microwave cooking (covered, using high power only) in 90ml for 10mins</t>
  </si>
  <si>
    <t>0500569</t>
  </si>
  <si>
    <t>0500570</t>
  </si>
  <si>
    <t>Conventional cooking (boiling, covered) in 175ml for 21mins</t>
  </si>
  <si>
    <t>0500571</t>
  </si>
  <si>
    <t>Pressure cooking in 110ml of water for 8 mins</t>
  </si>
  <si>
    <t>0500572</t>
  </si>
  <si>
    <t>Microwave cooking (covered, using high power only) in 145ml for 10mins</t>
  </si>
  <si>
    <t>0500573</t>
  </si>
  <si>
    <t>0500574</t>
  </si>
  <si>
    <t xml:space="preserve">Spinach, cooked </t>
  </si>
  <si>
    <t>0500575</t>
  </si>
  <si>
    <t>Spinach, cooked (pressure)</t>
  </si>
  <si>
    <t>0500576</t>
  </si>
  <si>
    <t>Spinach, cooked (microwave)</t>
  </si>
  <si>
    <t>0500577</t>
  </si>
  <si>
    <t>Nigeria</t>
  </si>
  <si>
    <t>Osun</t>
  </si>
  <si>
    <t>Solanum sp</t>
  </si>
  <si>
    <t>ve53</t>
  </si>
  <si>
    <t>0500578</t>
  </si>
  <si>
    <t>Green leafy vegetables, blanched</t>
  </si>
  <si>
    <t>Blanched - covered with 30cm3 of extractant and after the water had reduced to 100cm3 the leaves were removed</t>
  </si>
  <si>
    <t>0500579</t>
  </si>
  <si>
    <t>44th day of the harvest</t>
  </si>
  <si>
    <t>Without the addition of any fertilizer</t>
  </si>
  <si>
    <t>ve54</t>
  </si>
  <si>
    <t>0500580</t>
  </si>
  <si>
    <t>With the addition of nitrogen, phosphorus, potassium (150, 50 &amp; 50 kg/h respectively) fertilizer</t>
  </si>
  <si>
    <t>0500581</t>
  </si>
  <si>
    <t>With the addition of nitrogen, phosphorus, potassium, zinc (150, 50, 50 &amp; 20 kg/h respectively) fertilizer</t>
  </si>
  <si>
    <t>0500582</t>
  </si>
  <si>
    <t xml:space="preserve">With the addition of nitrogen, phosphorus, potassium, iron (150, 50, 50 &amp; 10 kg/h respectively) fertilizer </t>
  </si>
  <si>
    <t>0500583</t>
  </si>
  <si>
    <t>With the addition of nitrogen, phosphorus, potassium, zinc, iron (150, 50, 50, 20 &amp; 10 kg/h respectively) fertilizer</t>
  </si>
  <si>
    <t>0500584</t>
  </si>
  <si>
    <t>Rumex vesicarius</t>
  </si>
  <si>
    <t>47th day of the harvest</t>
  </si>
  <si>
    <t>0500585</t>
  </si>
  <si>
    <t>0500586</t>
  </si>
  <si>
    <t xml:space="preserve">With the addition of nitrogen, phosphorus, potassium, zinc (150, 50, 50 &amp; 20 kg/h respectively) fertilizer </t>
  </si>
  <si>
    <t>0500587</t>
  </si>
  <si>
    <t>0500588</t>
  </si>
  <si>
    <t>0500589</t>
  </si>
  <si>
    <t>USA</t>
  </si>
  <si>
    <t>ve55</t>
  </si>
  <si>
    <t>0500590</t>
  </si>
  <si>
    <t>Spinach, steamed</t>
  </si>
  <si>
    <t>Steamed over boiling water for 5 mins</t>
  </si>
  <si>
    <t>0500591</t>
  </si>
  <si>
    <t>Microwaved with a small amount of water in a glass bowl covered with a plastic wrap fpr 5 mins at full power</t>
  </si>
  <si>
    <t>0500592</t>
  </si>
  <si>
    <t>Broccoli Leaves, raw</t>
  </si>
  <si>
    <t>0500593</t>
  </si>
  <si>
    <t>Broccoli leaves, steamed</t>
  </si>
  <si>
    <t>0500594</t>
  </si>
  <si>
    <t>Broccoli leaves, cooked (microwave)</t>
  </si>
  <si>
    <t>Microwaved with a small amount of water in a glass bowl covered with a plastic wrap for 5 mins at full power</t>
  </si>
  <si>
    <t>0500595</t>
  </si>
  <si>
    <t>ve56</t>
  </si>
  <si>
    <t>0500596</t>
  </si>
  <si>
    <t>Cooked in water for 5 mins</t>
  </si>
  <si>
    <t>0500597</t>
  </si>
  <si>
    <t>Cooked in water for 10 mins</t>
  </si>
  <si>
    <t>0500598</t>
  </si>
  <si>
    <t>Cooked in water for 15 mins</t>
  </si>
  <si>
    <t>0500599</t>
  </si>
  <si>
    <t>Cassava Leaves, raw</t>
  </si>
  <si>
    <t xml:space="preserve">Manihot utilissima </t>
  </si>
  <si>
    <t>0500600</t>
  </si>
  <si>
    <t>Cassava Leaves, cooked</t>
  </si>
  <si>
    <t>0500601</t>
  </si>
  <si>
    <t>0500602</t>
  </si>
  <si>
    <t>Cassava Leaves, boiled</t>
  </si>
  <si>
    <t>Subgroup</t>
  </si>
  <si>
    <t>ISSCAAP</t>
  </si>
  <si>
    <t>3_alpha</t>
  </si>
  <si>
    <t>Food name in own language</t>
  </si>
  <si>
    <t>Food name in English</t>
  </si>
  <si>
    <t>ASFIS English name</t>
  </si>
  <si>
    <t>ASFIS Scientific name</t>
  </si>
  <si>
    <t>Compiler</t>
  </si>
  <si>
    <t>Latest revision in version</t>
  </si>
  <si>
    <t>EDIBLE</t>
  </si>
  <si>
    <t>ENERA(kcal)</t>
  </si>
  <si>
    <t>NT(g)</t>
  </si>
  <si>
    <t>NNP(mg)</t>
  </si>
  <si>
    <t>FAT(g)</t>
  </si>
  <si>
    <t>FASAT(g)</t>
  </si>
  <si>
    <t>FAMS(g)</t>
  </si>
  <si>
    <t>FAPU(g)</t>
  </si>
  <si>
    <t>FATRN(g)</t>
  </si>
  <si>
    <t>GLYC(g)</t>
  </si>
  <si>
    <t>AG(mcg)</t>
  </si>
  <si>
    <t>BA(mcg)</t>
  </si>
  <si>
    <t>BRD(mcg)</t>
  </si>
  <si>
    <t>CLD(mg)</t>
  </si>
  <si>
    <t>CR(mcg)</t>
  </si>
  <si>
    <t>ID(mcg)</t>
  </si>
  <si>
    <t>MO(mcg)</t>
  </si>
  <si>
    <t>NACL(mg)</t>
  </si>
  <si>
    <t>NI(mcg)</t>
  </si>
  <si>
    <t>RB(mg)</t>
  </si>
  <si>
    <t>S(mg)</t>
  </si>
  <si>
    <t>SE(mcg)</t>
  </si>
  <si>
    <t>TI(mcg)</t>
  </si>
  <si>
    <t>V(mcg)</t>
  </si>
  <si>
    <t>AS(mcg)</t>
  </si>
  <si>
    <t>CD(mcg)</t>
  </si>
  <si>
    <t>HG(mcg)</t>
  </si>
  <si>
    <t>SN(mcg)</t>
  </si>
  <si>
    <t>SR(mcg)</t>
  </si>
  <si>
    <t>VITA-(mcg)</t>
  </si>
  <si>
    <t>RETOL(mcg)</t>
  </si>
  <si>
    <t>RETOL13(mcg)</t>
  </si>
  <si>
    <t>RETOLDH(mcg)</t>
  </si>
  <si>
    <t>CARTA(mcg)</t>
  </si>
  <si>
    <t>CHOCAL(mcg)</t>
  </si>
  <si>
    <t>ERGSTR(mcg)</t>
  </si>
  <si>
    <t>VITE-(mg)</t>
  </si>
  <si>
    <t>TOCPHA(mg)</t>
  </si>
  <si>
    <t>NIA(mg)</t>
  </si>
  <si>
    <t>PANTAC(mg)</t>
  </si>
  <si>
    <t>VITB6A(mg)</t>
  </si>
  <si>
    <t>VITB6-(mg)</t>
  </si>
  <si>
    <t>PYRXN(mg)</t>
  </si>
  <si>
    <t>PYRXNHCL(mg)</t>
  </si>
  <si>
    <t>FOL(mcg)</t>
  </si>
  <si>
    <t>VITB12(mcg)</t>
  </si>
  <si>
    <t>SUCS(g)</t>
  </si>
  <si>
    <t>AAE-(mg)</t>
  </si>
  <si>
    <t>AAT-(mg)</t>
  </si>
  <si>
    <t>AANE(mg)</t>
  </si>
  <si>
    <t>GLN(mg)</t>
  </si>
  <si>
    <t>HYL(mg)</t>
  </si>
  <si>
    <t>HYP(mg)</t>
  </si>
  <si>
    <t>TAU(mg)</t>
  </si>
  <si>
    <t>ASN_A_ASP(mg)</t>
  </si>
  <si>
    <t>GLN_A_GLU(mg)</t>
  </si>
  <si>
    <t>AAS(mg)</t>
  </si>
  <si>
    <t>CHOLE(mg)</t>
  </si>
  <si>
    <t>CHOL-(mg)</t>
  </si>
  <si>
    <t>PHOLIP(g)</t>
  </si>
  <si>
    <t>STERT(mg)</t>
  </si>
  <si>
    <t>SQUAL(mg)</t>
  </si>
  <si>
    <t>SITSTR(mg)</t>
  </si>
  <si>
    <t>STGSTR(mg)</t>
  </si>
  <si>
    <t>CAMT(mg)</t>
  </si>
  <si>
    <t>BRASTR(mg)</t>
  </si>
  <si>
    <t>F: Farmed; W: Wild</t>
  </si>
  <si>
    <t>Edible portion coefficient</t>
  </si>
  <si>
    <t>Energy, total metabolizable; calculated from the energy-producing food components (original as from source)</t>
  </si>
  <si>
    <t>Energy, gross; determined by direct analysis using bomb calorimetry</t>
  </si>
  <si>
    <t>Nitrogen, total</t>
  </si>
  <si>
    <t>Protein, total; calculated from protein nitrogen</t>
  </si>
  <si>
    <t>Nitrogen, non-protein</t>
  </si>
  <si>
    <t>Fat, total</t>
  </si>
  <si>
    <t>Fatty acids, total saturated</t>
  </si>
  <si>
    <t>Fatty acids, total monounsaturated</t>
  </si>
  <si>
    <t>Fatty acids, total polyunsaturated</t>
  </si>
  <si>
    <t>Other fatty acids, not specified</t>
  </si>
  <si>
    <t>Fatty acids, total trans</t>
  </si>
  <si>
    <t>Carbohydrate; method of determination unknown or variable</t>
  </si>
  <si>
    <t>Glycogen</t>
  </si>
  <si>
    <t>Silver</t>
  </si>
  <si>
    <t>Barium</t>
  </si>
  <si>
    <t>Bromide</t>
  </si>
  <si>
    <t xml:space="preserve">Chloride </t>
  </si>
  <si>
    <t>Chromium</t>
  </si>
  <si>
    <t>Iodine</t>
  </si>
  <si>
    <t>Molybdenum</t>
  </si>
  <si>
    <t>Salt</t>
  </si>
  <si>
    <t>Nickel</t>
  </si>
  <si>
    <t>Rubidium</t>
  </si>
  <si>
    <t>Sulphur</t>
  </si>
  <si>
    <t>Selenium</t>
  </si>
  <si>
    <t>Titanum</t>
  </si>
  <si>
    <t>Vanadium</t>
  </si>
  <si>
    <t>Arsenic</t>
  </si>
  <si>
    <t>Cadmium</t>
  </si>
  <si>
    <t>Mercury</t>
  </si>
  <si>
    <t>Tin</t>
  </si>
  <si>
    <t>Strontium</t>
  </si>
  <si>
    <t>Vitamin A; method or expression unknown</t>
  </si>
  <si>
    <t>Retinol</t>
  </si>
  <si>
    <t>13-cis retinol</t>
  </si>
  <si>
    <t>Dehydroretinol</t>
  </si>
  <si>
    <t>alpha-Carotene</t>
  </si>
  <si>
    <t>beta-Carotene</t>
  </si>
  <si>
    <t>Cholecalciferol (D3)</t>
  </si>
  <si>
    <t>Ergosterol</t>
  </si>
  <si>
    <t>Vitamin E; method or expression unknown</t>
  </si>
  <si>
    <t>alpha-Tocopherol</t>
  </si>
  <si>
    <t>Niacin, preformed</t>
  </si>
  <si>
    <t>Pantothenic acid</t>
  </si>
  <si>
    <t>Vitamin B-6, total; determined by analysis</t>
  </si>
  <si>
    <t>Vitamin B6, method unknown or variable</t>
  </si>
  <si>
    <t>Pyridoxine</t>
  </si>
  <si>
    <t>Pyridoxine HCL</t>
  </si>
  <si>
    <t>Folate, total</t>
  </si>
  <si>
    <t>Vitamin B-12</t>
  </si>
  <si>
    <t>Sucrose</t>
  </si>
  <si>
    <t>Amino acids, total essential; unknown or variable which AS are included in total</t>
  </si>
  <si>
    <t>Amino acids, total; precise definition not specified</t>
  </si>
  <si>
    <t>Amino acids, total non-essential</t>
  </si>
  <si>
    <t>Glutamine</t>
  </si>
  <si>
    <t>Hydroxylysine</t>
  </si>
  <si>
    <t>Hydroxyproline</t>
  </si>
  <si>
    <t>Taurine</t>
  </si>
  <si>
    <t>Asparagine + aspartic acid</t>
  </si>
  <si>
    <t>Glutamine + glutamic acid</t>
  </si>
  <si>
    <t>Amino acids, total sulfur-containing</t>
  </si>
  <si>
    <t>Cholesterol; determined by enzymatic or chromatographic method</t>
  </si>
  <si>
    <t>Cholesterol; method unknown or variable</t>
  </si>
  <si>
    <t>Fatty acids, total free</t>
  </si>
  <si>
    <t>Phospholipids, total</t>
  </si>
  <si>
    <t>Sterols, total</t>
  </si>
  <si>
    <t>Squalene</t>
  </si>
  <si>
    <t>Sitosterol</t>
  </si>
  <si>
    <t>Stigmasterol, unspecified</t>
  </si>
  <si>
    <t>Campesterol, total</t>
  </si>
  <si>
    <t>Brassicasterol</t>
  </si>
  <si>
    <t>0901305</t>
  </si>
  <si>
    <t>Unknown (samples from a retailer market at Ijmuiden, Netherlands)</t>
  </si>
  <si>
    <t>CLZ</t>
  </si>
  <si>
    <t>African catfish, farmed, skinless, bonless fillet, raw</t>
  </si>
  <si>
    <t>Clarias gariepinus</t>
  </si>
  <si>
    <t>North African catfish</t>
  </si>
  <si>
    <t>fi1</t>
  </si>
  <si>
    <t>0901306</t>
  </si>
  <si>
    <t>African catfish, farmed, skinless, boneless fillet, boiled</t>
  </si>
  <si>
    <t>boiled in salted water (1.5%), 100 °C, 7min; relation fish/water 1:2</t>
  </si>
  <si>
    <t>0901307</t>
  </si>
  <si>
    <t>African catfish, farmed, skinless, boneless fillet, fried in vegetable oil</t>
  </si>
  <si>
    <t>fried: fish spiked with 1.5% salt, after 15min salt was partially removed; coated in wheat flour, fried in veg oil: 5min, 180 °C</t>
  </si>
  <si>
    <t>[740.81]</t>
  </si>
  <si>
    <t>[63.32]</t>
  </si>
  <si>
    <t>[21.82]</t>
  </si>
  <si>
    <t>[9.3]</t>
  </si>
  <si>
    <t>[2.3]</t>
  </si>
  <si>
    <t>[11170]</t>
  </si>
  <si>
    <t>[22510]</t>
  </si>
  <si>
    <t>[11340]</t>
  </si>
  <si>
    <t>[1490]</t>
  </si>
  <si>
    <t>[1500]</t>
  </si>
  <si>
    <t>[2380]</t>
  </si>
  <si>
    <t>[3530]</t>
  </si>
  <si>
    <t>[1220]</t>
  </si>
  <si>
    <t>[600]</t>
  </si>
  <si>
    <t>[1010]</t>
  </si>
  <si>
    <t>[2000]</t>
  </si>
  <si>
    <t>[2290]</t>
  </si>
  <si>
    <t>[490]</t>
  </si>
  <si>
    <t>[1050]</t>
  </si>
  <si>
    <t>[1000]</t>
  </si>
  <si>
    <t>[870]</t>
  </si>
  <si>
    <t>[970]</t>
  </si>
  <si>
    <t>[850]</t>
  </si>
  <si>
    <t>[1260]</t>
  </si>
  <si>
    <t>0901308</t>
  </si>
  <si>
    <t>African catfish, farmed, skinless, boneless fillet, grilled</t>
  </si>
  <si>
    <t>grilled: fish spiked with 1.5% salt, after 15min salt was partially removed; electrical grill, 5min at 350 °C</t>
  </si>
  <si>
    <t>0901309</t>
  </si>
  <si>
    <t>Unknown (samples from Istanbul local fish market)</t>
  </si>
  <si>
    <t>HOM</t>
  </si>
  <si>
    <t>Horse mackerel, muscle fillet, raw</t>
  </si>
  <si>
    <t>Trachurus trachurus</t>
  </si>
  <si>
    <t>Atlantic horse mackerel</t>
  </si>
  <si>
    <t>fi3</t>
  </si>
  <si>
    <t>0901310</t>
  </si>
  <si>
    <t>Horse mackerel, muscle fillet, fried in sunflower oil</t>
  </si>
  <si>
    <t>frying at 180 °C</t>
  </si>
  <si>
    <t>0901311</t>
  </si>
  <si>
    <t>Horse mackerel, muscle fillet, grilled</t>
  </si>
  <si>
    <t>electric grill at 180 °C for 30-40min</t>
  </si>
  <si>
    <t>0901312</t>
  </si>
  <si>
    <t>Horse mackerel, muscle fillet, steamed</t>
  </si>
  <si>
    <t>steaming in automatic cooker (10-20 min for 250g)</t>
  </si>
  <si>
    <t>0901313</t>
  </si>
  <si>
    <t>Vietnam (samples obtained from four different local seafood stores, Central Coast, New South Wales, Australia)</t>
  </si>
  <si>
    <t>PGS</t>
  </si>
  <si>
    <t>Tra catfish, farmed, skinless fillet, frozen</t>
  </si>
  <si>
    <t>Pangasius hypophthalmus</t>
  </si>
  <si>
    <t>Striped catfish</t>
  </si>
  <si>
    <t>FA converted using XFA</t>
  </si>
  <si>
    <t>fi5</t>
  </si>
  <si>
    <t>0901314</t>
  </si>
  <si>
    <t>Tasmania (samples obtained from four different local seafood stores, Central Coast, New South Wales, Australia)</t>
  </si>
  <si>
    <t>SAL</t>
  </si>
  <si>
    <t>Atlantic salmon, farmed, skinless fillet, frozen</t>
  </si>
  <si>
    <t>Salmo salar</t>
  </si>
  <si>
    <t>Atlantic salmon</t>
  </si>
  <si>
    <t>0901315</t>
  </si>
  <si>
    <t>Poland</t>
  </si>
  <si>
    <t>FPP</t>
  </si>
  <si>
    <t>Pike perch, farmed, skinless fillet, raw</t>
  </si>
  <si>
    <t>Sander lucioperca</t>
  </si>
  <si>
    <t>Pike-perch</t>
  </si>
  <si>
    <t>Nov</t>
  </si>
  <si>
    <t>EDIBLE = fillet yield (vs fish weight)</t>
  </si>
  <si>
    <t>fi7</t>
  </si>
  <si>
    <t>0901316</t>
  </si>
  <si>
    <t>Turkey, Agean sea</t>
  </si>
  <si>
    <t>BSS</t>
  </si>
  <si>
    <t>Sea bass, farmed, fillet, raw</t>
  </si>
  <si>
    <t>Dicentrarchus labrax</t>
  </si>
  <si>
    <t>European seabass</t>
  </si>
  <si>
    <t>Sep</t>
  </si>
  <si>
    <t>mean length and weight of fish: 31cm, 331g</t>
  </si>
  <si>
    <t>fi9</t>
  </si>
  <si>
    <t>[34330]</t>
  </si>
  <si>
    <t>0901317</t>
  </si>
  <si>
    <t>SBG</t>
  </si>
  <si>
    <t>Sea bream, farmed, fillet, raw</t>
  </si>
  <si>
    <t>Sparus aurata</t>
  </si>
  <si>
    <t>Gilthead seabream</t>
  </si>
  <si>
    <t>mean length and weight of fish: 27.3cm, 278g</t>
  </si>
  <si>
    <t>[51700]</t>
  </si>
  <si>
    <t>0901318</t>
  </si>
  <si>
    <t>DEC</t>
  </si>
  <si>
    <t>Common dentex, farmed, fillet, raw</t>
  </si>
  <si>
    <t>Dentex dentex</t>
  </si>
  <si>
    <t>Common dentex</t>
  </si>
  <si>
    <t>mean length and weight of fish:28.5cm, 540.45g</t>
  </si>
  <si>
    <t>[24099.3]</t>
  </si>
  <si>
    <t>0901319</t>
  </si>
  <si>
    <t>Iran, Khuzestan</t>
  </si>
  <si>
    <t>SVC</t>
  </si>
  <si>
    <t>Silver carp, farmed, fillet, raw</t>
  </si>
  <si>
    <t>Hypophthalmichthys molitrix</t>
  </si>
  <si>
    <t>Silver carp</t>
  </si>
  <si>
    <t>Winter 2009</t>
  </si>
  <si>
    <t>fish weight: 2300-300g</t>
  </si>
  <si>
    <t>fi10</t>
  </si>
  <si>
    <t>[74.15]</t>
  </si>
  <si>
    <t>[17.06]</t>
  </si>
  <si>
    <t>[10.97]</t>
  </si>
  <si>
    <t>[1.27]</t>
  </si>
  <si>
    <t>0901320</t>
  </si>
  <si>
    <t>Silver carp, farmed, fillet, steam-cooked</t>
  </si>
  <si>
    <t>fish weight: 2300-300g; steam-cooked: 102-103 °C, 48min</t>
  </si>
  <si>
    <t>0901321</t>
  </si>
  <si>
    <t>Silver carp, farmed, fillet, oven-baked</t>
  </si>
  <si>
    <t>fish weight: 2300-300g; oven-baked: 175 °C, 60min</t>
  </si>
  <si>
    <t>[67.57]</t>
  </si>
  <si>
    <t>[6.25]</t>
  </si>
  <si>
    <t>[18.66]</t>
  </si>
  <si>
    <t>[7.95]</t>
  </si>
  <si>
    <t>[0.99]</t>
  </si>
  <si>
    <t>0901322</t>
  </si>
  <si>
    <t>Silver carp, farmed, fillet, microwave-cooked</t>
  </si>
  <si>
    <t>fish weight: 2300-300g; 900w microwave oven, 7min</t>
  </si>
  <si>
    <t>0901323</t>
  </si>
  <si>
    <t>Vietnam (samples obtained from Italian markets)</t>
  </si>
  <si>
    <t xml:space="preserve">PGS </t>
  </si>
  <si>
    <t>Sutchi catfish, boneless skinless fillet, frozen</t>
  </si>
  <si>
    <t>fi12</t>
  </si>
  <si>
    <t>0901324</t>
  </si>
  <si>
    <t>Vietnam</t>
  </si>
  <si>
    <t>Tra</t>
  </si>
  <si>
    <t>Sutchi catfish, farmed (conventionally), fillet, glazed, frozen</t>
  </si>
  <si>
    <t>fi13</t>
  </si>
  <si>
    <t>0901325</t>
  </si>
  <si>
    <t>Sutchi catfish, farmed (conventionally), skinless fillet, glazed, frozen</t>
  </si>
  <si>
    <t>0901326</t>
  </si>
  <si>
    <t>0901327</t>
  </si>
  <si>
    <t>Sutchi catfish, farmed (conventionally), skinless fillet portions, glazed, frozen</t>
  </si>
  <si>
    <t>0901328</t>
  </si>
  <si>
    <t>0901329</t>
  </si>
  <si>
    <t>0901330</t>
  </si>
  <si>
    <t>Sutchi catfish, farmed (organically), skinless fillet without belly flaps, glazed, frozen</t>
  </si>
  <si>
    <t>0901331</t>
  </si>
  <si>
    <t>0901332</t>
  </si>
  <si>
    <t>0901333</t>
  </si>
  <si>
    <t>ITP</t>
  </si>
  <si>
    <t>Channel catfish, farmed, skinless fillet, raw</t>
  </si>
  <si>
    <t>Ictalurus punctatus</t>
  </si>
  <si>
    <t>Channel catfish</t>
  </si>
  <si>
    <t>fillet yields range from 24.3%-30.2% (from dressed fish)</t>
  </si>
  <si>
    <t>fi14</t>
  </si>
  <si>
    <t>0901334</t>
  </si>
  <si>
    <t>0901335</t>
  </si>
  <si>
    <t>0901336</t>
  </si>
  <si>
    <t>Channel catfish, farmed, skinless fillet, microwave heating</t>
  </si>
  <si>
    <t>fillets coated with enriched white cornmeal; fried in Mazola corn oil, ratio 4-6g meat/ 100ml oil; fillet yields range from 24.3%-30.2% (from dressed fish)</t>
  </si>
  <si>
    <t>0901337</t>
  </si>
  <si>
    <t>Channel catfish, farmed, skinless fillet, oven baking</t>
  </si>
  <si>
    <t>0901338</t>
  </si>
  <si>
    <t>TLN</t>
  </si>
  <si>
    <t>Nile tilapia, farmed, fillet, raw</t>
  </si>
  <si>
    <t>Oreochromis niloticus</t>
  </si>
  <si>
    <t>Nile tilapia</t>
  </si>
  <si>
    <t>commercial diet of fish (Aceitera la Junta, S.A.): 9.87% moisture, 35.9% protein, 14.65% lipid, 10.4% ash</t>
  </si>
  <si>
    <t>fi15</t>
  </si>
  <si>
    <t>0901339</t>
  </si>
  <si>
    <t>Brazil (samples from fish markets in Maringá, Paraná, Brazil)</t>
  </si>
  <si>
    <t>MDI</t>
  </si>
  <si>
    <t>Barbado</t>
  </si>
  <si>
    <t>Flatwhiskered catfish, wild, skinless, boneless fillets, raw</t>
  </si>
  <si>
    <t>Pinirampus pinirampu</t>
  </si>
  <si>
    <t>Flatwhiskered catfish</t>
  </si>
  <si>
    <t>FA not specified - summed up, entered as &lt;FAUN&gt;; FAME converted using ShF and XFA</t>
  </si>
  <si>
    <t>fi17</t>
  </si>
  <si>
    <t>0901340</t>
  </si>
  <si>
    <t>FCP</t>
  </si>
  <si>
    <t>Carpa</t>
  </si>
  <si>
    <t>Common carp, wild, skinless, boneless fillets, raw</t>
  </si>
  <si>
    <t>Cyprinus carpio</t>
  </si>
  <si>
    <t>Common carp</t>
  </si>
  <si>
    <t>0901341</t>
  </si>
  <si>
    <t>Cascudo abacaxi</t>
  </si>
  <si>
    <t>wild, skinless, boneless fillets, raw</t>
  </si>
  <si>
    <t>Megaloancistrus aculeatus</t>
  </si>
  <si>
    <t>Loricariidae</t>
  </si>
  <si>
    <t>0901342</t>
  </si>
  <si>
    <t>DPG</t>
  </si>
  <si>
    <t>Cascudo cachorro</t>
  </si>
  <si>
    <t>Granulated catfish, wild, skinless, boneless fillets, raw</t>
  </si>
  <si>
    <t>Pterodoras granulosus</t>
  </si>
  <si>
    <t>Granulated catfish</t>
  </si>
  <si>
    <t>0901343</t>
  </si>
  <si>
    <t>LGQ</t>
  </si>
  <si>
    <t>Corvina</t>
  </si>
  <si>
    <t>South American silver croaker, wild, skinless, boneless fillets, raw</t>
  </si>
  <si>
    <t>Plagioscion squamosissimus</t>
  </si>
  <si>
    <t>South American silver croaker</t>
  </si>
  <si>
    <t>0901344</t>
  </si>
  <si>
    <t>PLL</t>
  </si>
  <si>
    <t>Curimba</t>
  </si>
  <si>
    <t>Streaked prochilod, wild, skinless, boneless fillets, raw</t>
  </si>
  <si>
    <t>Prochilodus lineatus</t>
  </si>
  <si>
    <t>Streaked prochilod</t>
  </si>
  <si>
    <t>0901345</t>
  </si>
  <si>
    <t>SXU</t>
  </si>
  <si>
    <t>Dourado</t>
  </si>
  <si>
    <t>Dorado, wild, skinless, boneless fillets, raw</t>
  </si>
  <si>
    <t>Salminus maxillosus</t>
  </si>
  <si>
    <t>Dorado</t>
  </si>
  <si>
    <t>0901346</t>
  </si>
  <si>
    <t>HBY</t>
  </si>
  <si>
    <t>Jurupoca</t>
  </si>
  <si>
    <t>Hemisorubim plathyrhinchos</t>
  </si>
  <si>
    <t>Hemisorubim platyrhynchos</t>
  </si>
  <si>
    <t>0901347</t>
  </si>
  <si>
    <t>MDM</t>
  </si>
  <si>
    <t>Mandi</t>
  </si>
  <si>
    <t>Pimelodus maculatus</t>
  </si>
  <si>
    <t>0901348</t>
  </si>
  <si>
    <t>CSO</t>
  </si>
  <si>
    <t>Pacu</t>
  </si>
  <si>
    <t>Pirapatinga, wild, skinless, boneless fillets, raw</t>
  </si>
  <si>
    <t>Colossoma mitrei</t>
  </si>
  <si>
    <t>Piaractus mesopotamicus</t>
  </si>
  <si>
    <t>0901349</t>
  </si>
  <si>
    <t>Piapara</t>
  </si>
  <si>
    <t>Leporinus elongatus</t>
  </si>
  <si>
    <t>Anostomidae</t>
  </si>
  <si>
    <t>0901350</t>
  </si>
  <si>
    <t>LPD</t>
  </si>
  <si>
    <t>Piau</t>
  </si>
  <si>
    <t>Leporinus friderici</t>
  </si>
  <si>
    <t>0901351</t>
  </si>
  <si>
    <t>UDC</t>
  </si>
  <si>
    <t>Pintado</t>
  </si>
  <si>
    <t>Spotted sorubim, wild, skinless, boneless fillets, raw</t>
  </si>
  <si>
    <t>Pseudoplatystoma corruscans</t>
  </si>
  <si>
    <t>Spotted sorubim</t>
  </si>
  <si>
    <t>0901352</t>
  </si>
  <si>
    <t>Piranha</t>
  </si>
  <si>
    <t>Serrasalmus marginatus</t>
  </si>
  <si>
    <t>Characidae</t>
  </si>
  <si>
    <t>0901353</t>
  </si>
  <si>
    <t>Tilápia</t>
  </si>
  <si>
    <t>Nile tilapia, wild, skinless, boneless fillets, raw</t>
  </si>
  <si>
    <t>0901354</t>
  </si>
  <si>
    <t>Traíra</t>
  </si>
  <si>
    <t>Hoplias malabaricus</t>
  </si>
  <si>
    <t>Erythrinidae</t>
  </si>
  <si>
    <t>0901355</t>
  </si>
  <si>
    <t>TRO</t>
  </si>
  <si>
    <t>Truta</t>
  </si>
  <si>
    <t>Salmus sp.</t>
  </si>
  <si>
    <t>Trouts nei</t>
  </si>
  <si>
    <t>Salmo spp</t>
  </si>
  <si>
    <t>0901356</t>
  </si>
  <si>
    <t>Turkey, Anatalya</t>
  </si>
  <si>
    <t>TRR</t>
  </si>
  <si>
    <t>Rainbow trout, farmed, skinless, boneless fillet, raw</t>
  </si>
  <si>
    <t>Oncorhynchus mykiss</t>
  </si>
  <si>
    <t>Rainbow trout</t>
  </si>
  <si>
    <t xml:space="preserve">mean length and weight of fish: 22.2cm, 195.67g; </t>
  </si>
  <si>
    <t>fi18</t>
  </si>
  <si>
    <t>0901357</t>
  </si>
  <si>
    <t>Rainbow trout, farmed, skinless, boneless fillet, fried (sunflower oil)</t>
  </si>
  <si>
    <t>mean length and weight of fish: 22.2cm, 195.67g; frying: oil temperature 180 °C</t>
  </si>
  <si>
    <t>[62.69]</t>
  </si>
  <si>
    <t>[26.34]</t>
  </si>
  <si>
    <t>[12.7]</t>
  </si>
  <si>
    <t>[1.66]</t>
  </si>
  <si>
    <t>0901358</t>
  </si>
  <si>
    <t>Rainbow trout, farmed, skinless, boneless fillet, boiled</t>
  </si>
  <si>
    <t>mean length and weight of fish: 22.2cm, 195.67g; boiling: in boiling water for 5min</t>
  </si>
  <si>
    <t>[69.16]</t>
  </si>
  <si>
    <t>[20.66]</t>
  </si>
  <si>
    <t>[4.32]</t>
  </si>
  <si>
    <t>[1.61]</t>
  </si>
  <si>
    <t>0901359</t>
  </si>
  <si>
    <t>Rainbow trout, farmed, skinless, boneless fillet, baked</t>
  </si>
  <si>
    <t>[65.3]</t>
  </si>
  <si>
    <t>[23.26]</t>
  </si>
  <si>
    <t>[6.21]</t>
  </si>
  <si>
    <t>[1.41]</t>
  </si>
  <si>
    <t>0901360</t>
  </si>
  <si>
    <t>Rainbow trout, farmed, skinless, boneless fillet, grilled</t>
  </si>
  <si>
    <t>mean length and weight of fish: 22.2cm, 195.67g; grilling: electric grill, 180 °C for 30min</t>
  </si>
  <si>
    <t>0901361</t>
  </si>
  <si>
    <t>Rainbow trout, farmed, skinless, boneless fillet, microwave-cooked</t>
  </si>
  <si>
    <t>mean length and weight of fish: 22.2cm, 195.67g; microwave-cooked: 2450 MHZ, 13min</t>
  </si>
  <si>
    <t>0901362</t>
  </si>
  <si>
    <t>APG</t>
  </si>
  <si>
    <t>Russian sturgeon, farmed, skinless fillet, raw</t>
  </si>
  <si>
    <t>Acipenser guldenstadti</t>
  </si>
  <si>
    <t>Danube sturgeon</t>
  </si>
  <si>
    <t>Acipenser gueldenstaedtii</t>
  </si>
  <si>
    <t>weight: 2300-2600g, 18-24 months; commercial diet: 40-42% protein, 10-14% fat, 8-10% moisture</t>
  </si>
  <si>
    <t>fi20</t>
  </si>
  <si>
    <t>75.2-77.1</t>
  </si>
  <si>
    <t>16.4-17.6</t>
  </si>
  <si>
    <t>4.0-7.0</t>
  </si>
  <si>
    <t>1-1.5</t>
  </si>
  <si>
    <t>0901363</t>
  </si>
  <si>
    <t>APB</t>
  </si>
  <si>
    <t>Siberian sturgeon, farmed, skinless fillet, raw</t>
  </si>
  <si>
    <t>Acipenser baeri</t>
  </si>
  <si>
    <t>Siberian sturgeon</t>
  </si>
  <si>
    <t>Acipenser baerii</t>
  </si>
  <si>
    <t>weight: 2300-2600g, 18-24 months</t>
  </si>
  <si>
    <t>69.5-70.6</t>
  </si>
  <si>
    <t>17.8-19.6</t>
  </si>
  <si>
    <t>8-11.6</t>
  </si>
  <si>
    <t>1.2-1.9</t>
  </si>
  <si>
    <t>0901364</t>
  </si>
  <si>
    <t>USA, North Carolina NC</t>
  </si>
  <si>
    <t>ELA</t>
  </si>
  <si>
    <t>American eel, farmed (18mon), skinless muscle tissue, raw</t>
  </si>
  <si>
    <t>Anguilla rostrata</t>
  </si>
  <si>
    <t>American eel</t>
  </si>
  <si>
    <t>mean body length and weight: 37cm, 136.3g</t>
  </si>
  <si>
    <t>PRO- (analyzed accrding to AOAC 1975); FA converted using XFA</t>
  </si>
  <si>
    <t>fi21</t>
  </si>
  <si>
    <t>0901365</t>
  </si>
  <si>
    <t>Brazil, Amazonian region, Alta Floresta</t>
  </si>
  <si>
    <t>UDF</t>
  </si>
  <si>
    <t>Cachara</t>
  </si>
  <si>
    <t>Barred sorubim, farmed, muscle flesh, raw</t>
  </si>
  <si>
    <t>Pseudoplatystoma fasciatum</t>
  </si>
  <si>
    <t>Barred sorubim</t>
  </si>
  <si>
    <t>Sep (dry season) 2006</t>
  </si>
  <si>
    <t>mean length and weight of fish: 65.8cm, 2130g; commercial fish diet: 26% protein, 13.5% fat, 34% carbohydrates, 14% ash) and small fish (Astyanax spp.)</t>
  </si>
  <si>
    <t>fi22</t>
  </si>
  <si>
    <t>0901366</t>
  </si>
  <si>
    <t>Jan (wet season) 2007</t>
  </si>
  <si>
    <t>mean length and weight of fish: 62.2cm, 2150g; commercial fish diet: 26% protein, 13.5% fat, 34% carbohydrates, 14% ash) and small fish (Astyanax spp.)</t>
  </si>
  <si>
    <t>0901367</t>
  </si>
  <si>
    <t>Sri Lanka, Ibbagamuwa, Bathalagoda tank</t>
  </si>
  <si>
    <t>TLM</t>
  </si>
  <si>
    <t>Tilapia, wild, boneless flesh, raw</t>
  </si>
  <si>
    <t>Oreochromis mossambicus</t>
  </si>
  <si>
    <t>Mozambique tilapia</t>
  </si>
  <si>
    <t>mean length and weight of fish: 11.4cm, 59.2g</t>
  </si>
  <si>
    <t>fi24</t>
  </si>
  <si>
    <t>0901368</t>
  </si>
  <si>
    <t>Sri Lanka, Nikaweratiya, Magala tank</t>
  </si>
  <si>
    <t>FSS</t>
  </si>
  <si>
    <t>Lulla (Sinhala)/Viral (Tamil)</t>
  </si>
  <si>
    <t>Snakehead, wild, boneless flesh, raw</t>
  </si>
  <si>
    <t>Ophicephalus striatus</t>
  </si>
  <si>
    <t>Striped snakehead</t>
  </si>
  <si>
    <t>Channa striata</t>
  </si>
  <si>
    <t>mean length and weight of fish: 24.6cm, 112.0g</t>
  </si>
  <si>
    <t>[75.3]</t>
  </si>
  <si>
    <t>[16.9]</t>
  </si>
  <si>
    <t>[1.7]</t>
  </si>
  <si>
    <t>[1.3]</t>
  </si>
  <si>
    <t>[1]</t>
  </si>
  <si>
    <t>0901369</t>
  </si>
  <si>
    <t>GOU</t>
  </si>
  <si>
    <t>Weligouva (Sinhal)/Uluvai (Tamil)</t>
  </si>
  <si>
    <t>Goby, wild, boneless flesh, raw</t>
  </si>
  <si>
    <t>Glossogobius giurias</t>
  </si>
  <si>
    <t>Tank goby</t>
  </si>
  <si>
    <t>mean length and weight of fish: 18.0cm, 37.2g</t>
  </si>
  <si>
    <t>[336.6]</t>
  </si>
  <si>
    <t>[316.1]</t>
  </si>
  <si>
    <t>[77]</t>
  </si>
  <si>
    <t>[485.5]</t>
  </si>
  <si>
    <t>0901370</t>
  </si>
  <si>
    <t>Unknown (samples obtained from local fish market in Adana)</t>
  </si>
  <si>
    <t>GPW</t>
  </si>
  <si>
    <t>Waker, muscle tissue, raw</t>
  </si>
  <si>
    <t>Epinephelus aeneus</t>
  </si>
  <si>
    <t>Waker</t>
  </si>
  <si>
    <t>fi34</t>
  </si>
  <si>
    <t>0901371</t>
  </si>
  <si>
    <t>GUU</t>
  </si>
  <si>
    <t>Tub gurned, muscle tissue, raw</t>
  </si>
  <si>
    <t>Trigla lucerna</t>
  </si>
  <si>
    <t>Tub gurnard</t>
  </si>
  <si>
    <t>Chelidonichthys lucerna</t>
  </si>
  <si>
    <t>0901372</t>
  </si>
  <si>
    <t>WHG</t>
  </si>
  <si>
    <t>Whitting, muscle tissue, raw</t>
  </si>
  <si>
    <t>Merlangius merlangus</t>
  </si>
  <si>
    <t>Whiting</t>
  </si>
  <si>
    <t>0901373</t>
  </si>
  <si>
    <t>MAC</t>
  </si>
  <si>
    <t>Mackerel, muscle tissue, raw</t>
  </si>
  <si>
    <t>Scomber scombrus</t>
  </si>
  <si>
    <t>Atlantic mackerel</t>
  </si>
  <si>
    <t>0901374</t>
  </si>
  <si>
    <t>BLU</t>
  </si>
  <si>
    <t>Blue fish, muscle tissue, raw</t>
  </si>
  <si>
    <t>Pomatomus saltator</t>
  </si>
  <si>
    <t>Bluefish</t>
  </si>
  <si>
    <t>Pomatomus saltatrix</t>
  </si>
  <si>
    <t>FA converted using XFA; FAPUN6 calculated (sum of individual FA n-6)</t>
  </si>
  <si>
    <t>0901375</t>
  </si>
  <si>
    <t>Sea bream, muscle tissue, raw</t>
  </si>
  <si>
    <t>Sparus auratus</t>
  </si>
  <si>
    <t>0901376</t>
  </si>
  <si>
    <t>Sea bass, muscle tissue, raw</t>
  </si>
  <si>
    <t>0901377</t>
  </si>
  <si>
    <t>SRI</t>
  </si>
  <si>
    <t>Marbled spinefoot, muscle tissue, raw</t>
  </si>
  <si>
    <t>Siganus rivulatus</t>
  </si>
  <si>
    <t>Marbled spinefoot</t>
  </si>
  <si>
    <t>0901378</t>
  </si>
  <si>
    <t>Italy, Calvisano</t>
  </si>
  <si>
    <t>APN</t>
  </si>
  <si>
    <t>White sturgeon, farmed (5kg), boneless, skinless fillet, raw</t>
  </si>
  <si>
    <t>Acipenser transmontanus</t>
  </si>
  <si>
    <t>White sturegeon</t>
  </si>
  <si>
    <t>mean length and weight of fish: 104.5cm, 5525g</t>
  </si>
  <si>
    <t>PRO-/FAT- analyzed according to AOAC 1990</t>
  </si>
  <si>
    <t>fi37</t>
  </si>
  <si>
    <t>0901379</t>
  </si>
  <si>
    <t>White sturgeon, farmed (3yr, 5kg), boneless, skinless fillet, raw</t>
  </si>
  <si>
    <t>Apr 1992</t>
  </si>
  <si>
    <t>PRO-/FAT- analyzed according to AOAC 1990;</t>
  </si>
  <si>
    <t>0901380</t>
  </si>
  <si>
    <t>PRO-/FAT- analyzed according to AOAC 1990; FA calc. based on mean annual lipid value; FA calc. as % of FACID; FACID calculated using CF</t>
  </si>
  <si>
    <t>[2.54]</t>
  </si>
  <si>
    <t>[0.65579849]</t>
  </si>
  <si>
    <t>[0.10911418]</t>
  </si>
  <si>
    <t>0901381</t>
  </si>
  <si>
    <t>July 1992</t>
  </si>
  <si>
    <t>[0.71035558]</t>
  </si>
  <si>
    <t>[0.04676322]</t>
  </si>
  <si>
    <t>0901382</t>
  </si>
  <si>
    <t>Oct 1992</t>
  </si>
  <si>
    <t>[0.59456094]</t>
  </si>
  <si>
    <t>[0.15810422]</t>
  </si>
  <si>
    <t>0901383</t>
  </si>
  <si>
    <t>Jan 1993</t>
  </si>
  <si>
    <t>[0.55781841]</t>
  </si>
  <si>
    <t>[0.12581533]</t>
  </si>
  <si>
    <t>0901384</t>
  </si>
  <si>
    <t>White sturgeon, farmed (5yr, 10kg), boneless, skinless fillet, raw</t>
  </si>
  <si>
    <t>mean length and weight of fish: 119.27cm, 10092g</t>
  </si>
  <si>
    <t>0901385</t>
  </si>
  <si>
    <t>[3.36]</t>
  </si>
  <si>
    <t>[0.79135226]</t>
  </si>
  <si>
    <t>[0.10321986]</t>
  </si>
  <si>
    <t>0901386</t>
  </si>
  <si>
    <t>[0.822767]</t>
  </si>
  <si>
    <t>[0.15557776]</t>
  </si>
  <si>
    <t>0901387</t>
  </si>
  <si>
    <t>[0.89606806]</t>
  </si>
  <si>
    <t>[0.14510618]</t>
  </si>
  <si>
    <t>0901388</t>
  </si>
  <si>
    <t>[0.77340098]</t>
  </si>
  <si>
    <t>[0.1271549]</t>
  </si>
  <si>
    <t>0901389</t>
  </si>
  <si>
    <t>Siberian sturgeon, farmed, white muscle flesh, raw</t>
  </si>
  <si>
    <t>commercial diet (TROUVIT): 50% protein, 18% fat, 9.5% ash, 1% fiber; mean weight of fish and fork length: 90.2cm, 4292g, age 42-54 months</t>
  </si>
  <si>
    <t>FAME converted using ShF and XFA</t>
  </si>
  <si>
    <t>fi40</t>
  </si>
  <si>
    <t>0901390</t>
  </si>
  <si>
    <t>AAA</t>
  </si>
  <si>
    <t>Adriatic sturgeon, farmed, white muscle flesh, raw</t>
  </si>
  <si>
    <t>Acipenser naccarii</t>
  </si>
  <si>
    <t>Adriatic sturgeon</t>
  </si>
  <si>
    <t>commercial diet (TROUVIT): 50% protein, 18% fat, 9.5% ash, 1% fiber; mean weight of fish and fork length: 91.4cm, 4844g, age 42-54 months</t>
  </si>
  <si>
    <t>0901391</t>
  </si>
  <si>
    <t>White sturegeon, farmed, white muscle flesh, raw</t>
  </si>
  <si>
    <t>commercial diet (TROUVIT): 50% protein, 18% fat, 9.5% ash, 1% fiber; mean weight of fish and fork length: 69.6cm, 4974g, age 42-54 months</t>
  </si>
  <si>
    <t>0901392</t>
  </si>
  <si>
    <t>Carp, muscle tissue, raw</t>
  </si>
  <si>
    <t>Jun-Jul 1995</t>
  </si>
  <si>
    <t>mature, female fish; weight: 3500g</t>
  </si>
  <si>
    <t>fi41</t>
  </si>
  <si>
    <t>0901393</t>
  </si>
  <si>
    <t>BIC</t>
  </si>
  <si>
    <t>Bighead carp, muscle tissue, raw</t>
  </si>
  <si>
    <t>Aristichthys nobilis</t>
  </si>
  <si>
    <t>Bighead carp</t>
  </si>
  <si>
    <t>Hypophthalmichthys nobilis</t>
  </si>
  <si>
    <t>mature, female fish; weight: 7000g</t>
  </si>
  <si>
    <t>0901394</t>
  </si>
  <si>
    <t>FPI</t>
  </si>
  <si>
    <t>Pike, muscle tissue, raw</t>
  </si>
  <si>
    <t>Esox lucius</t>
  </si>
  <si>
    <t>Northern pike</t>
  </si>
  <si>
    <t>Mar-Apr 1995</t>
  </si>
  <si>
    <t>mature, female fish; weight: 1500g</t>
  </si>
  <si>
    <t>0901395</t>
  </si>
  <si>
    <t>New Zealand</t>
  </si>
  <si>
    <t>CAH</t>
  </si>
  <si>
    <t>Elephant fish, wild, skinless fillet, frozen</t>
  </si>
  <si>
    <t>Elephantfishes, etc. nei</t>
  </si>
  <si>
    <t>(Callorhinchidae)</t>
  </si>
  <si>
    <t>Jan 1985</t>
  </si>
  <si>
    <t>mean length and weight of fish: 67cm, 2407g</t>
  </si>
  <si>
    <t>fi42</t>
  </si>
  <si>
    <t>0901396</t>
  </si>
  <si>
    <t>CHI</t>
  </si>
  <si>
    <t>Salmon (sea-cage), farmed, female, skinless fillet, frozen</t>
  </si>
  <si>
    <t>Oncorhynchus tshawytscha</t>
  </si>
  <si>
    <t>Chinook salmon</t>
  </si>
  <si>
    <t>Sep 1984</t>
  </si>
  <si>
    <t>mean length and weight of fish: 43cm, 1130g</t>
  </si>
  <si>
    <t>0901397</t>
  </si>
  <si>
    <t>Salmon (freshwater), farmed, skinless fillet, frozen</t>
  </si>
  <si>
    <t>mean length and weight of fish: 25cm, 230g</t>
  </si>
  <si>
    <t>0901398</t>
  </si>
  <si>
    <t>FCY</t>
  </si>
  <si>
    <t>Shir-bot</t>
  </si>
  <si>
    <t>Barb, fillet, raw</t>
  </si>
  <si>
    <t>Barbus grypsus</t>
  </si>
  <si>
    <t>Cyprinidae</t>
  </si>
  <si>
    <t>PRO-/FAT- (analyzed according to AOAC 2000)</t>
  </si>
  <si>
    <t>fi44</t>
  </si>
  <si>
    <t>0901399</t>
  </si>
  <si>
    <t>Berzem</t>
  </si>
  <si>
    <t>Barbus barbilus</t>
  </si>
  <si>
    <t>0901400</t>
  </si>
  <si>
    <t>Capoor</t>
  </si>
  <si>
    <t>Common carp, fillet, raw</t>
  </si>
  <si>
    <t>0901401</t>
  </si>
  <si>
    <t>TRS</t>
  </si>
  <si>
    <t>Ghezel-ala</t>
  </si>
  <si>
    <t>Sea trout, fillet, raw</t>
  </si>
  <si>
    <t>Salmo trutta</t>
  </si>
  <si>
    <t>Sea trout</t>
  </si>
  <si>
    <t>0901402</t>
  </si>
  <si>
    <t>ANE</t>
  </si>
  <si>
    <t>Anchovy, skinless fillet, raw</t>
  </si>
  <si>
    <t>Engraulis encrasicolus</t>
  </si>
  <si>
    <t>European anchovy</t>
  </si>
  <si>
    <t>FA: tr means under the LOQ (0.1 g/100 g total lipids); FAPUN3 and FAPUN6 calc. (sum of individual FA n-3, n-6); Scientific names of species taken from: Sirot V, Guerin T, Volatier J.-L., Leblanc J.-C. (2008). Dieteary exposure and biomarkers of arsenic in consumers of fish and shellfish from France. Science of the Total Environment 407:1875-1885.</t>
  </si>
  <si>
    <t>fi45</t>
  </si>
  <si>
    <t>0901403</t>
  </si>
  <si>
    <t>COD</t>
  </si>
  <si>
    <t>Cod, skinless fillet, raw/frozen</t>
  </si>
  <si>
    <t>Gadus morhua</t>
  </si>
  <si>
    <t>Atlantic cod</t>
  </si>
  <si>
    <t>FA: tr means under the LOQ (0.1 g/100 g total lipids); FAPUN3 and FAPUN6 calc. (sum of individual FA n-3, n-6); Scientific names of species taken from: Sirot V, Guerin T, Volatier J.-L., Leblanc J.-C. (2008). Dieteary exposure and biomarkers of arsenic in</t>
  </si>
  <si>
    <t>0901404</t>
  </si>
  <si>
    <t>ELE</t>
  </si>
  <si>
    <t>Eel, skinless fillet, raw</t>
  </si>
  <si>
    <t>Anguilla anguilla</t>
  </si>
  <si>
    <t>European eel</t>
  </si>
  <si>
    <t>0901405</t>
  </si>
  <si>
    <t>ORY</t>
  </si>
  <si>
    <t>Emperor, skinless fillet, raw/frozen</t>
  </si>
  <si>
    <t>Hoplostethus atlanticus</t>
  </si>
  <si>
    <t>Orange roughy</t>
  </si>
  <si>
    <t>0901406</t>
  </si>
  <si>
    <t>RNG</t>
  </si>
  <si>
    <t>Grenadier, skinless fillet, raw/frozen</t>
  </si>
  <si>
    <t>Coryphaenoides rupestris</t>
  </si>
  <si>
    <t>Roundnose grenadier</t>
  </si>
  <si>
    <t>0901407</t>
  </si>
  <si>
    <t>HAD</t>
  </si>
  <si>
    <t>Haddock, skinless fillet, raw</t>
  </si>
  <si>
    <t>Melanogrammus aeglefinus</t>
  </si>
  <si>
    <t>Haddock</t>
  </si>
  <si>
    <t>0901408</t>
  </si>
  <si>
    <t>HKE</t>
  </si>
  <si>
    <t>Hake, skinless fillet, raw/frozen</t>
  </si>
  <si>
    <t>Merluccius merluccius</t>
  </si>
  <si>
    <t>European hake</t>
  </si>
  <si>
    <t>0901409</t>
  </si>
  <si>
    <t>JOD</t>
  </si>
  <si>
    <t>John dory, skinless fillet, raw/frozen</t>
  </si>
  <si>
    <t>Zeus faber</t>
  </si>
  <si>
    <t>John dory</t>
  </si>
  <si>
    <t>0901410</t>
  </si>
  <si>
    <t>Mackerel, skinless fillet, raw/frozen</t>
  </si>
  <si>
    <t>0901411</t>
  </si>
  <si>
    <t>POL</t>
  </si>
  <si>
    <t>Pollack, skinless fillet, raw</t>
  </si>
  <si>
    <t>Pollachius pollachius</t>
  </si>
  <si>
    <t>Pollack</t>
  </si>
  <si>
    <t>0901412</t>
  </si>
  <si>
    <t>POK</t>
  </si>
  <si>
    <t>Saithe, skinless fillet, raw/frozen</t>
  </si>
  <si>
    <t>Pollachius virens</t>
  </si>
  <si>
    <t>Saithe</t>
  </si>
  <si>
    <t>0901413</t>
  </si>
  <si>
    <t>Salmon, skinless fillet, raw/frozen</t>
  </si>
  <si>
    <t>0901414</t>
  </si>
  <si>
    <t>PIL</t>
  </si>
  <si>
    <t>Sardine, skin-on fillet, raw</t>
  </si>
  <si>
    <t>Sardina pilchardus</t>
  </si>
  <si>
    <t>European pilchard</t>
  </si>
  <si>
    <t>0901415</t>
  </si>
  <si>
    <t>Seabass, skinless fillet, raw/frozen</t>
  </si>
  <si>
    <t>0901416</t>
  </si>
  <si>
    <t>SOL</t>
  </si>
  <si>
    <t>Sole, skinless fillet, raw</t>
  </si>
  <si>
    <t>Solea solea</t>
  </si>
  <si>
    <t>Common sole</t>
  </si>
  <si>
    <t>0901417</t>
  </si>
  <si>
    <t>SWO</t>
  </si>
  <si>
    <t>Swordfish, skinless fillet, raw/frozen</t>
  </si>
  <si>
    <t>Xiphias gladius</t>
  </si>
  <si>
    <t>Swordfish</t>
  </si>
  <si>
    <t>0901418</t>
  </si>
  <si>
    <t>BFT</t>
  </si>
  <si>
    <t>Tuna, skinless fillet, raw/frozen</t>
  </si>
  <si>
    <t>Thunnus thynnus</t>
  </si>
  <si>
    <t>Atlantic bluefin tuna</t>
  </si>
  <si>
    <t>0901419</t>
  </si>
  <si>
    <t>ANF</t>
  </si>
  <si>
    <t>Angler fish, skinless fillet, raw/frozen</t>
  </si>
  <si>
    <t>Lophius piscatorius/Lophius budegassa</t>
  </si>
  <si>
    <t>Anglerfishes nei</t>
  </si>
  <si>
    <t>Lophiidae</t>
  </si>
  <si>
    <t>MON/ANK;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</si>
  <si>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0901420</t>
  </si>
  <si>
    <t>SCL</t>
  </si>
  <si>
    <t>Catshark, skinless fillet, raw</t>
  </si>
  <si>
    <t>Scyliorhinus canicula/Scyliorhinus stellaris</t>
  </si>
  <si>
    <t>Catsharks, nursehounds nei</t>
  </si>
  <si>
    <t>Scyliorhinus spp</t>
  </si>
  <si>
    <t>SYC/SYT;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</si>
  <si>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0901421</t>
  </si>
  <si>
    <t>PLZ</t>
  </si>
  <si>
    <t>Dab, raw, skinless fillet, raw/frozen</t>
  </si>
  <si>
    <t>Limanda limanda/Microstomus kitt</t>
  </si>
  <si>
    <t>Righteye flounders nei</t>
  </si>
  <si>
    <t>Pleuronectidae</t>
  </si>
  <si>
    <t>DAB/LEM;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</si>
  <si>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0901422</t>
  </si>
  <si>
    <t>MUX</t>
  </si>
  <si>
    <t>Goatfish, skinless fillet, raw/frozen</t>
  </si>
  <si>
    <t>Mullus barbattus/Mullus surmuletus</t>
  </si>
  <si>
    <t>Surmullets(=Red mullets) nei</t>
  </si>
  <si>
    <t>Mullus spp</t>
  </si>
  <si>
    <t>MUT/MUR;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</si>
  <si>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0901423</t>
  </si>
  <si>
    <t>GUX</t>
  </si>
  <si>
    <t>Gurnard, skinless fillet, raw/frozen</t>
  </si>
  <si>
    <t>Trigla lucerna/Eurtigla gurnardus/Aspitrigla cuculus</t>
  </si>
  <si>
    <t>Gurnards, searobins nei</t>
  </si>
  <si>
    <t>Triglidae</t>
  </si>
  <si>
    <t>GUG/GUR;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</si>
  <si>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0901424</t>
  </si>
  <si>
    <t>Halibut, skinless fillet, raw/frozen</t>
  </si>
  <si>
    <t>Hippoglossus hippoglossus/Reinhardtius hippoglossoides</t>
  </si>
  <si>
    <t>HAL/GHL;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</si>
  <si>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0901425</t>
  </si>
  <si>
    <t>LNZ</t>
  </si>
  <si>
    <t>Ling, skinless fillet, raw/frozen</t>
  </si>
  <si>
    <t>Molva molva/Molva dypterygia dypterygia</t>
  </si>
  <si>
    <t>Lings nei</t>
  </si>
  <si>
    <t>Molva spp</t>
  </si>
  <si>
    <t>LIN/BLI;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</si>
  <si>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0901426</t>
  </si>
  <si>
    <t>Plaice, skinless fillet, raw/frozen</t>
  </si>
  <si>
    <t>Pleuronectes platessa/Glyptocephalus cynoglossus</t>
  </si>
  <si>
    <t>PLE/WIT;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</si>
  <si>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0901427</t>
  </si>
  <si>
    <t>GAD</t>
  </si>
  <si>
    <t>Pout, skinless fillet, raw</t>
  </si>
  <si>
    <t>Trisopterus luscus/Trisopterus minutus capelanus</t>
  </si>
  <si>
    <t>Gadiformes</t>
  </si>
  <si>
    <t>Gadiformes nei/Gadidae</t>
  </si>
  <si>
    <t>BIB/POD;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</si>
  <si>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0901428</t>
  </si>
  <si>
    <t>SKA</t>
  </si>
  <si>
    <t>Ray, skinless fillet, raw/frozen</t>
  </si>
  <si>
    <t>Raja clavata/Raja naevus/Raja circularis</t>
  </si>
  <si>
    <t>Raja rays nei</t>
  </si>
  <si>
    <t>Raja spp</t>
  </si>
  <si>
    <t>RJC/RJN/RJI;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</si>
  <si>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0901429</t>
  </si>
  <si>
    <t>SCO</t>
  </si>
  <si>
    <t>Scorpionfish, skinless fillet, raw/frozen</t>
  </si>
  <si>
    <t>Scorpaena porcus/Scorpaena scrofa/Helicolenus dactylopterus</t>
  </si>
  <si>
    <t>Scorpionfishes nei</t>
  </si>
  <si>
    <t>Scorpaenidae</t>
  </si>
  <si>
    <t>BBS/RSE/BRF;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</si>
  <si>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0901430</t>
  </si>
  <si>
    <t>SBX</t>
  </si>
  <si>
    <t>Sea bream, skinless fillet, raw</t>
  </si>
  <si>
    <t>Spondyliosoma cantharus/Sparus aurata/Pagellus bogaraveo</t>
  </si>
  <si>
    <t>Porgies, seabreams nei</t>
  </si>
  <si>
    <t>Sparidae</t>
  </si>
  <si>
    <t>BRB/SBG/SBR;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</si>
  <si>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0901431</t>
  </si>
  <si>
    <t>Whiting, skinless fillet, raw/frozen</t>
  </si>
  <si>
    <t>Merlangius merlangus/Micromesistius poutassou</t>
  </si>
  <si>
    <t>WHG/WHB;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</si>
  <si>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0901432</t>
  </si>
  <si>
    <t>CTC</t>
  </si>
  <si>
    <t>Cuttle fish, edible flesh, raw/frozen</t>
  </si>
  <si>
    <t>Sepia officinalis</t>
  </si>
  <si>
    <t>Common cuttlefish</t>
  </si>
  <si>
    <t>0901433</t>
  </si>
  <si>
    <t>SCE</t>
  </si>
  <si>
    <t>Great scallop, edible flesh, raw/frozen</t>
  </si>
  <si>
    <t>Pecten maximus</t>
  </si>
  <si>
    <t>Great Atlantic scallop</t>
  </si>
  <si>
    <t>0901434</t>
  </si>
  <si>
    <t>Crustacean</t>
  </si>
  <si>
    <t>LBE</t>
  </si>
  <si>
    <t>Lobster, edible flesh raw/frozen</t>
  </si>
  <si>
    <t>Homarus gammarus</t>
  </si>
  <si>
    <t>European lobster</t>
  </si>
  <si>
    <t>0901435</t>
  </si>
  <si>
    <t>MUS</t>
  </si>
  <si>
    <t>Mussel, edible flesh, cooked</t>
  </si>
  <si>
    <t>Mytilus edulis</t>
  </si>
  <si>
    <t>Blue mussel</t>
  </si>
  <si>
    <t>0901436</t>
  </si>
  <si>
    <t>OCC</t>
  </si>
  <si>
    <t>Octopus, edible flesh raw/frozen</t>
  </si>
  <si>
    <t>Octopus vulgaris</t>
  </si>
  <si>
    <t>Common octopus</t>
  </si>
  <si>
    <t>0901437</t>
  </si>
  <si>
    <t>NEP</t>
  </si>
  <si>
    <t>Scampi, edible flesh, cooked</t>
  </si>
  <si>
    <t>Nephrops norvegicus</t>
  </si>
  <si>
    <t>Norway Lobster</t>
  </si>
  <si>
    <t>0901438</t>
  </si>
  <si>
    <t>DCP</t>
  </si>
  <si>
    <t>Shrimp, edible flesh, raw/frozen</t>
  </si>
  <si>
    <t>Palaemon serratus/Crangon crangon</t>
  </si>
  <si>
    <t>Natantian decapods nei</t>
  </si>
  <si>
    <t>Natantia/Palaemonidae, Crangonidae</t>
  </si>
  <si>
    <t>CPR/CSH; FA: tr means under the LOQ (0.1 g/100 g total lipids); FAPUN3 and FAPUN6 calc. (sum of individual FA n-3, n-6); Scientific names of species taken from: Sirot V, Guerin T, Volatier J.-L., Leblanc J.-C. (2008). Dieteary exposure and biomarkers of arsenic in consumers of fish and shellfish from France. Science of the Total Environment 407:1875-1885.</t>
  </si>
  <si>
    <t>0901439</t>
  </si>
  <si>
    <t>SQR</t>
  </si>
  <si>
    <t>Squid, edible flesh raw/frozen</t>
  </si>
  <si>
    <t>Loligo vulgaris</t>
  </si>
  <si>
    <t>European squid</t>
  </si>
  <si>
    <t>0901440</t>
  </si>
  <si>
    <t>Anchovy, canned</t>
  </si>
  <si>
    <t>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</si>
  <si>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0901441</t>
  </si>
  <si>
    <t>CRE</t>
  </si>
  <si>
    <t>Crab, canned</t>
  </si>
  <si>
    <t>Cancer pagurus</t>
  </si>
  <si>
    <t>Edible crab</t>
  </si>
  <si>
    <t>0901442</t>
  </si>
  <si>
    <t>Mackerel, canned</t>
  </si>
  <si>
    <t>0901443</t>
  </si>
  <si>
    <t>Pilchard, canned</t>
  </si>
  <si>
    <t>0901444</t>
  </si>
  <si>
    <t>Sardine, canned</t>
  </si>
  <si>
    <t>0901445</t>
  </si>
  <si>
    <t>TUN</t>
  </si>
  <si>
    <t>Tuna, canned</t>
  </si>
  <si>
    <t>Thunnus alalunga/Euthynnus pelamis</t>
  </si>
  <si>
    <t>Tunas nei</t>
  </si>
  <si>
    <t>Thunnini</t>
  </si>
  <si>
    <t>ALB/SKJ; FA: tr means under the LOQ (0.1 g/100 g total lipids); FAPUN3 and FAPUN6 calc. (sum of individual FA n-3/n-6); Scientific names of species taken from: Sirot V, Guerin T, Volatier J.-L., Leblanc J.-C. (2008). Dieteary exposure and biomarkers of arsenic in consumers of fish and shellfish from France. Science of the Total Environment 407:1875-1885.</t>
  </si>
  <si>
    <t>0901446</t>
  </si>
  <si>
    <t>Haddock, smoked</t>
  </si>
  <si>
    <t>0901447</t>
  </si>
  <si>
    <t>HER</t>
  </si>
  <si>
    <t>Herring, smoked</t>
  </si>
  <si>
    <t>Clupea harengus</t>
  </si>
  <si>
    <t>Atlantic herring</t>
  </si>
  <si>
    <t>0901448</t>
  </si>
  <si>
    <t>Mackerel, smoked</t>
  </si>
  <si>
    <t>0901449</t>
  </si>
  <si>
    <t>Salmon, smoked</t>
  </si>
  <si>
    <t>0901450</t>
  </si>
  <si>
    <t>China, Xiangshan Port</t>
  </si>
  <si>
    <t>LYC</t>
  </si>
  <si>
    <t>Large yellow croaker, farmed (2yr), skinless dorsal fillet, raw</t>
  </si>
  <si>
    <t>Pseudosciaena crocea</t>
  </si>
  <si>
    <t>Large yellow croaker</t>
  </si>
  <si>
    <t>Larimichthys croceus</t>
  </si>
  <si>
    <t>Autumn</t>
  </si>
  <si>
    <t>fish diet: raw fish (Sardinella spp): 70.6% protein, 13.1% fat, 15.5% ash</t>
  </si>
  <si>
    <t>Values expressed per DM - conversionn to FW; FA converted using XFA</t>
  </si>
  <si>
    <t>fi49</t>
  </si>
  <si>
    <t>0901451</t>
  </si>
  <si>
    <t>commercial fish diet: 45.5% protein, 10.9% fat, 12.7% ash</t>
  </si>
  <si>
    <t>0901452</t>
  </si>
  <si>
    <t>Unknown (samples from local fish markets, Malaysia)</t>
  </si>
  <si>
    <t>COM</t>
  </si>
  <si>
    <t>Tenggiri papan</t>
  </si>
  <si>
    <t>Spanish mackerel, fillet, raw</t>
  </si>
  <si>
    <t>Scomberomorus commersonii</t>
  </si>
  <si>
    <t>Narrow-barred Spanish mackerel</t>
  </si>
  <si>
    <t>Scomberomorus commerson</t>
  </si>
  <si>
    <t>fi51</t>
  </si>
  <si>
    <t>0901453</t>
  </si>
  <si>
    <t>RBY</t>
  </si>
  <si>
    <t>Pari</t>
  </si>
  <si>
    <t>Whiptail stingray, fillet, raw</t>
  </si>
  <si>
    <t>Gymnura spp.</t>
  </si>
  <si>
    <t>Butterfly rays</t>
  </si>
  <si>
    <t>0901454</t>
  </si>
  <si>
    <t>FOT</t>
  </si>
  <si>
    <t>Senangin</t>
  </si>
  <si>
    <t>Fourfinger threadfin, fillet, raw</t>
  </si>
  <si>
    <t>Eleutheronema tradactylum</t>
  </si>
  <si>
    <t>Fourfinger threadfin</t>
  </si>
  <si>
    <t>0901455</t>
  </si>
  <si>
    <t>CAE</t>
  </si>
  <si>
    <t>Sembilang</t>
  </si>
  <si>
    <t>Striped sea catfish, fillet, raw</t>
  </si>
  <si>
    <t>Plotosus spp.</t>
  </si>
  <si>
    <t>Eeltail catfishes</t>
  </si>
  <si>
    <t>0901456</t>
  </si>
  <si>
    <t>POB</t>
  </si>
  <si>
    <t>Bawal Hitam</t>
  </si>
  <si>
    <t>Black pomfret, fillet, raw</t>
  </si>
  <si>
    <t>Parastromateus niger</t>
  </si>
  <si>
    <t>Black pomfret</t>
  </si>
  <si>
    <t>0901457</t>
  </si>
  <si>
    <t>SIP</t>
  </si>
  <si>
    <t>Bawal Putih</t>
  </si>
  <si>
    <t>Silver pomfret, fillet, raw</t>
  </si>
  <si>
    <t>Pampus argenteus</t>
  </si>
  <si>
    <t>Silver pomfret</t>
  </si>
  <si>
    <t>0901458</t>
  </si>
  <si>
    <t>FRS</t>
  </si>
  <si>
    <t>Tamban</t>
  </si>
  <si>
    <t>Fringescale sardine, fillet, raw</t>
  </si>
  <si>
    <t>Clupea fimbriata</t>
  </si>
  <si>
    <t>Fringescale sardinella</t>
  </si>
  <si>
    <t>Sardinella fimbriata</t>
  </si>
  <si>
    <t>0901459</t>
  </si>
  <si>
    <t>HAS</t>
  </si>
  <si>
    <t>Cencaru</t>
  </si>
  <si>
    <t>Hardtail pomfret, fillet, raw</t>
  </si>
  <si>
    <t>Magalapsis cordyla</t>
  </si>
  <si>
    <t>Torpedo scad</t>
  </si>
  <si>
    <t>Megalapsis cordyla</t>
  </si>
  <si>
    <t>0901460</t>
  </si>
  <si>
    <t>RAG</t>
  </si>
  <si>
    <t>Kembung</t>
  </si>
  <si>
    <t>Indian mackerel, fillet, raw</t>
  </si>
  <si>
    <t>Rastrelliger kanagurta</t>
  </si>
  <si>
    <t>Indian mackerel</t>
  </si>
  <si>
    <t>0901461</t>
  </si>
  <si>
    <t>TRY</t>
  </si>
  <si>
    <t>Selar Kuning</t>
  </si>
  <si>
    <t>Yellow striped scad, fillet, raw</t>
  </si>
  <si>
    <t>Selarides leptolejus</t>
  </si>
  <si>
    <t>Yellowstripe scad</t>
  </si>
  <si>
    <t>Selaroides leptolepis</t>
  </si>
  <si>
    <t>0901462</t>
  </si>
  <si>
    <t>Turkey</t>
  </si>
  <si>
    <t>Rainbow trout, farmed (freshwater), dorsal muscle flesh, raw</t>
  </si>
  <si>
    <t>Sep-Nov 1994</t>
  </si>
  <si>
    <t>mean length and weight: 29.5cm, 267.5g</t>
  </si>
  <si>
    <t>FAPUN6 calc. (sum of individual FA n-6)</t>
  </si>
  <si>
    <t>fi55</t>
  </si>
  <si>
    <t>0901463</t>
  </si>
  <si>
    <t>Japan, Wakayama</t>
  </si>
  <si>
    <t>PBF</t>
  </si>
  <si>
    <t>Pacific bluefin tuna, farmed, dorsal muscle (F5), raw</t>
  </si>
  <si>
    <t>Thunnus orientalis</t>
  </si>
  <si>
    <t>Pacific bluefin tuna</t>
  </si>
  <si>
    <t>FC-5 final stage of full-cycle tuna</t>
  </si>
  <si>
    <t>fi56</t>
  </si>
  <si>
    <t>0901464</t>
  </si>
  <si>
    <t>Apr 2006</t>
  </si>
  <si>
    <t>mean length and weight: 24.32cm, 256g</t>
  </si>
  <si>
    <t>fi60</t>
  </si>
  <si>
    <t>0901465</t>
  </si>
  <si>
    <t>CBM</t>
  </si>
  <si>
    <t>Brown meagre, farmed, fillet, raw</t>
  </si>
  <si>
    <t>Sciaena umbra</t>
  </si>
  <si>
    <t>Brown meagre</t>
  </si>
  <si>
    <t>mean length and weight: 27.50cm, 228.12g</t>
  </si>
  <si>
    <t>0901466</t>
  </si>
  <si>
    <t>SHR</t>
  </si>
  <si>
    <t>Sharp-snout sea bream, farmed, fillet, raw</t>
  </si>
  <si>
    <t>Diplodus puntazzo</t>
  </si>
  <si>
    <t>Sharpsnout seabream</t>
  </si>
  <si>
    <t>mean length and weight: 23.51cm, 245.12g</t>
  </si>
  <si>
    <t>0901467</t>
  </si>
  <si>
    <t>Thailand, Phan district</t>
  </si>
  <si>
    <t>PNG</t>
  </si>
  <si>
    <t>Pangasius gigas, farmed, dorsal fillet, raw</t>
  </si>
  <si>
    <t>Pangasiandodon gigas</t>
  </si>
  <si>
    <t>Mekong giant catfish</t>
  </si>
  <si>
    <t>Pangasius gigas</t>
  </si>
  <si>
    <t>age ~5yr, 25-30kg</t>
  </si>
  <si>
    <t>fi61</t>
  </si>
  <si>
    <t>0901468</t>
  </si>
  <si>
    <t>Pangasius gigas, farmed, ventral fillet, raw</t>
  </si>
  <si>
    <t>0901469</t>
  </si>
  <si>
    <t>Spain</t>
  </si>
  <si>
    <t>Sharpsnout sea bream, (young &lt;1yr) farmed, dorsal white muscle, raw</t>
  </si>
  <si>
    <t>Nov 1997</t>
  </si>
  <si>
    <t>commercial diet (Trouw-Mar sea bream no.2); mean weight: 200.82g</t>
  </si>
  <si>
    <t>fi62</t>
  </si>
  <si>
    <t>0901470</t>
  </si>
  <si>
    <t>Unknown (samples from local fish market in Riyadh, Saudi Arabia)</t>
  </si>
  <si>
    <t>SSM</t>
  </si>
  <si>
    <t>Kanad</t>
  </si>
  <si>
    <t>Spanish mackerel, muscle tissue (dorsal fillet), raw</t>
  </si>
  <si>
    <t>Scomberomorus maculatus</t>
  </si>
  <si>
    <t>Atlantic Spanish mackerel</t>
  </si>
  <si>
    <t>fi64</t>
  </si>
  <si>
    <t>0901471</t>
  </si>
  <si>
    <t>ENI</t>
  </si>
  <si>
    <t>Hammour</t>
  </si>
  <si>
    <t>Grouper, muscle tissue (dorsal fillet), raw</t>
  </si>
  <si>
    <t>Epinephelus coioides</t>
  </si>
  <si>
    <t>Orange-spotted grouper</t>
  </si>
  <si>
    <t>0901472</t>
  </si>
  <si>
    <t>NGU</t>
  </si>
  <si>
    <t>Hammam</t>
  </si>
  <si>
    <t>Yellow-spotted trevally, muscle tissue (dorsal fillet), raw</t>
  </si>
  <si>
    <t>Carangoides fulvoguttatus</t>
  </si>
  <si>
    <t>Yellowspotted trevally</t>
  </si>
  <si>
    <t>0901473</t>
  </si>
  <si>
    <t>LRH</t>
  </si>
  <si>
    <t>Danbro</t>
  </si>
  <si>
    <t>Rohu, farmed, fillet, raw</t>
  </si>
  <si>
    <t>Labeo roho</t>
  </si>
  <si>
    <t>Roho labeo</t>
  </si>
  <si>
    <t>mean length and weight of fish: 46.80cm, 1500g; commercial fish diet: 10.1% moisture, 67.7% protein, 14.9% fat, 5.90% ash</t>
  </si>
  <si>
    <t>fi69</t>
  </si>
  <si>
    <t>0901474</t>
  </si>
  <si>
    <t>CMG</t>
  </si>
  <si>
    <t>Morakhi</t>
  </si>
  <si>
    <t>Mrigal, farmed, fillet, raw</t>
  </si>
  <si>
    <t>Cirrhinus mrigala</t>
  </si>
  <si>
    <t>Mrigal carp</t>
  </si>
  <si>
    <t>mean length and weight of fish:46.60cm, 1200g; commercial fish diet: 10.1% moisture, 67.7% protein, 14.9% fat, 5.90% ash</t>
  </si>
  <si>
    <t>0901475</t>
  </si>
  <si>
    <t>CTT</t>
  </si>
  <si>
    <t>Thalli</t>
  </si>
  <si>
    <t>Catla, farmed, fillet, raw</t>
  </si>
  <si>
    <t>Catla catla</t>
  </si>
  <si>
    <t>Catla</t>
  </si>
  <si>
    <t>mean length and weight of fish: 48.20cm, 1300g; commercial fish diet: 10.1% moisture, 67.7% protein, 14.9% fat, 5.90% ash</t>
  </si>
  <si>
    <t>0901476</t>
  </si>
  <si>
    <t>Greece</t>
  </si>
  <si>
    <t>Sea bass (young 1yr), farmed, fillet, raw</t>
  </si>
  <si>
    <t>May 2000</t>
  </si>
  <si>
    <t>meand length and weight: 23.8cm, 224g; commercial fish diet (LAKY, Nea Kerasounta): 46% protein, 20% fat, 17.6% carbohydrate, 1.2% crude fibre, 8% moisture, 7.2% ash</t>
  </si>
  <si>
    <t>FA converted using XFA; minerals expressed per DM - conversion to FW</t>
  </si>
  <si>
    <t>fi70</t>
  </si>
  <si>
    <t>0901477</t>
  </si>
  <si>
    <t>Carp, farmed, skinless fillet, raw</t>
  </si>
  <si>
    <t>fi74</t>
  </si>
  <si>
    <t>0901478</t>
  </si>
  <si>
    <t>Trout, farmed, skinless fillet, raw</t>
  </si>
  <si>
    <t>0901479</t>
  </si>
  <si>
    <t>Sutchi catfish, farmed, skinless fillet, frozen</t>
  </si>
  <si>
    <t>0901480</t>
  </si>
  <si>
    <t>China</t>
  </si>
  <si>
    <t>Tilapia, frozen, farmed, skinless fillet, frozen</t>
  </si>
  <si>
    <t>0901481</t>
  </si>
  <si>
    <t>Unknown (samples from local fish market, India)</t>
  </si>
  <si>
    <t>Rohu, meat, raw</t>
  </si>
  <si>
    <t>Labeo rohita</t>
  </si>
  <si>
    <t>May-Oct</t>
  </si>
  <si>
    <t>fi75</t>
  </si>
  <si>
    <t>0901482</t>
  </si>
  <si>
    <t>Catla, meat, raw</t>
  </si>
  <si>
    <t>0901483</t>
  </si>
  <si>
    <t>Mrigal, meat, raw</t>
  </si>
  <si>
    <t>0901484</t>
  </si>
  <si>
    <t>Tilapia, meat, raw</t>
  </si>
  <si>
    <t>0901485</t>
  </si>
  <si>
    <t>Common carp, meat, raw</t>
  </si>
  <si>
    <t>0901486</t>
  </si>
  <si>
    <t>Spain, La Coruna, local aquaculture facility</t>
  </si>
  <si>
    <t>SBR</t>
  </si>
  <si>
    <t>Blackspot seabream, farmed, ventral white muscle fillet, raw</t>
  </si>
  <si>
    <t>Pagellus bogaraveo</t>
  </si>
  <si>
    <t>Blackspot seabream</t>
  </si>
  <si>
    <t>length and weight of fish: 32-35cm, 650-850g; commercial diet: 9.5% moisture, 44.5% protein, 13.5% fat, 23.5% carbohydrate, 9.0% ash</t>
  </si>
  <si>
    <t>fi76</t>
  </si>
  <si>
    <t>0901487</t>
  </si>
  <si>
    <t>Blackspot seabream, farmed, dorsal white muscle fillet, raw</t>
  </si>
  <si>
    <t>0901488</t>
  </si>
  <si>
    <t>Blackspot seabream, farmed, tail white muscle fillet, raw</t>
  </si>
  <si>
    <t>0901489</t>
  </si>
  <si>
    <t>Norway, Stolt seafarm</t>
  </si>
  <si>
    <t>HAL</t>
  </si>
  <si>
    <t>Atlantic halibut, farmed, ventral white fillet (skinless, boneless, visible fat removed), raw</t>
  </si>
  <si>
    <t xml:space="preserve">Hippoglossus hippoglossus </t>
  </si>
  <si>
    <t xml:space="preserve">Atlantic halibut </t>
  </si>
  <si>
    <t>mean length and weight (gutted): 69cm, 4585g; immature fish</t>
  </si>
  <si>
    <t>FA: tr= &lt;0.001g FA/100g muscle</t>
  </si>
  <si>
    <t>fi77</t>
  </si>
  <si>
    <t>0901490</t>
  </si>
  <si>
    <t>King salmon, farmed, skinless fillet, raw</t>
  </si>
  <si>
    <t>May-Aug 2007</t>
  </si>
  <si>
    <t>fi81</t>
  </si>
  <si>
    <t>0901491</t>
  </si>
  <si>
    <t>King salmon, farmed, skinless fillet, poached</t>
  </si>
  <si>
    <t>poached: in boiling water for 3min30sec</t>
  </si>
  <si>
    <t>0901492</t>
  </si>
  <si>
    <t xml:space="preserve">King salmon, farmed, skinless fillet, steamed </t>
  </si>
  <si>
    <t>steaming: for 5min30sec</t>
  </si>
  <si>
    <t>0901493</t>
  </si>
  <si>
    <t>King salmon, farmed, skinless fillet, microwaved</t>
  </si>
  <si>
    <t>microwave-cooking: 100%power, 40sec</t>
  </si>
  <si>
    <t>0901494</t>
  </si>
  <si>
    <t>King salmon, farmed, skinless fillet, oven-baked</t>
  </si>
  <si>
    <t>oven-baking: 180°C, 10 min</t>
  </si>
  <si>
    <t>0901495</t>
  </si>
  <si>
    <t>King salmon, farmed, skinless fillet, pan fried</t>
  </si>
  <si>
    <t>pan-frying: 180°C, 8min</t>
  </si>
  <si>
    <t>0901496</t>
  </si>
  <si>
    <t>King salmon, farmed, skinless fillet, deep fried (sunflower oil)</t>
  </si>
  <si>
    <t>deep-frying: 180°C, 5min</t>
  </si>
  <si>
    <t>0901497</t>
  </si>
  <si>
    <t>Spain, Galicia</t>
  </si>
  <si>
    <t>TUR</t>
  </si>
  <si>
    <t>Turbot, farmed, muscle flesh, raw</t>
  </si>
  <si>
    <t>Psetta maxima</t>
  </si>
  <si>
    <t>Turbot</t>
  </si>
  <si>
    <t>Jan-Dec</t>
  </si>
  <si>
    <t>mean length and weight of fish: 36.0cm,976.7g</t>
  </si>
  <si>
    <t>FA converted using XFA; minerals tr= &lt;0.01mg/100g flesh</t>
  </si>
  <si>
    <t>fi83</t>
  </si>
  <si>
    <t>0901498</t>
  </si>
  <si>
    <t>China, Xiamen Bay</t>
  </si>
  <si>
    <t>Large yellow croaker, farmed, boneless back muscle tissue, raw</t>
  </si>
  <si>
    <t>FAT-/PRO- (analyzed according to AOAC 1990); proximates and AA expressed per DM - conversion to FW</t>
  </si>
  <si>
    <t>fi90</t>
  </si>
  <si>
    <t>0901499</t>
  </si>
  <si>
    <t>BAJ</t>
  </si>
  <si>
    <t>Common sea perch, farmed, boneless back muscle tissue, raw</t>
  </si>
  <si>
    <t>Lateolabrax japonicus</t>
  </si>
  <si>
    <t>Japanese seabass</t>
  </si>
  <si>
    <t>0901500</t>
  </si>
  <si>
    <t>SBP</t>
  </si>
  <si>
    <t>Red sea bream, farmed, boneless back muscle tissue, raw</t>
  </si>
  <si>
    <t>Pagrosomus major</t>
  </si>
  <si>
    <t>Pargo breams nei</t>
  </si>
  <si>
    <t>Pagrus spp</t>
  </si>
  <si>
    <t>0901501</t>
  </si>
  <si>
    <t>AMB</t>
  </si>
  <si>
    <t>Dumeril's amberjack, farmed, boneless back muscle tissue, raw</t>
  </si>
  <si>
    <t>Seriola dumerili</t>
  </si>
  <si>
    <t>Greater amberjack</t>
  </si>
  <si>
    <t>0901502</t>
  </si>
  <si>
    <t>GRX</t>
  </si>
  <si>
    <t>Black grunt, farmed, boneless back muscle tissue, raw</t>
  </si>
  <si>
    <t>Hapalogenys nitens</t>
  </si>
  <si>
    <t>Haemulidae (=Pomadasyidae)</t>
  </si>
  <si>
    <t>0901503</t>
  </si>
  <si>
    <t>Turkey, Gulf of Anatlya</t>
  </si>
  <si>
    <t>Bluefish tuna, farmed, dorsal, caudal, pectoral muscle flesh (bone and skinless), raw</t>
  </si>
  <si>
    <t>Aug 2007</t>
  </si>
  <si>
    <t>fi91</t>
  </si>
  <si>
    <t>[78.69]</t>
  </si>
  <si>
    <t>[18.55]</t>
  </si>
  <si>
    <t>[5.32]</t>
  </si>
  <si>
    <t>[1.03]</t>
  </si>
  <si>
    <t>0901504</t>
  </si>
  <si>
    <t>Sep 2007</t>
  </si>
  <si>
    <t>[67.87]</t>
  </si>
  <si>
    <t>[19.39]</t>
  </si>
  <si>
    <t>[7.66]</t>
  </si>
  <si>
    <t>[1.21]</t>
  </si>
  <si>
    <t>0901505</t>
  </si>
  <si>
    <t>Nov 2007</t>
  </si>
  <si>
    <t>0901506</t>
  </si>
  <si>
    <t>Unknown (samples from local fish market, Istanbul)</t>
  </si>
  <si>
    <t>Common sole, wild, edible muscle tissue, raw</t>
  </si>
  <si>
    <t>Winter (Dec 2006, Jan, Feb 2007)</t>
  </si>
  <si>
    <t>fi92</t>
  </si>
  <si>
    <t>0901507</t>
  </si>
  <si>
    <t>Spring (Mar, Apr, May 2007)</t>
  </si>
  <si>
    <t>0901508</t>
  </si>
  <si>
    <t>Summer (Jun, Jul, Aug 2007)</t>
  </si>
  <si>
    <t>0901509</t>
  </si>
  <si>
    <t>Autumn (Sep, Oct, Nov 2007)</t>
  </si>
  <si>
    <t>0901510</t>
  </si>
  <si>
    <t>MUR</t>
  </si>
  <si>
    <t>Striped red mullet, wild, edible muscle tissue, raw</t>
  </si>
  <si>
    <t>Mullus surmuletus</t>
  </si>
  <si>
    <t>Surmullet</t>
  </si>
  <si>
    <t>0901511</t>
  </si>
  <si>
    <t>0901512</t>
  </si>
  <si>
    <t>0901513</t>
  </si>
  <si>
    <t>0901514</t>
  </si>
  <si>
    <t>Whiting, wild, edible muscle tissue, raw</t>
  </si>
  <si>
    <t>0901515</t>
  </si>
  <si>
    <t>0901516</t>
  </si>
  <si>
    <t>0901517</t>
  </si>
  <si>
    <t>0901518</t>
  </si>
  <si>
    <t>Iran</t>
  </si>
  <si>
    <t>HUH</t>
  </si>
  <si>
    <t>Beluga sturgeon, farmed (1yr), skinless fillet (white and red muscle), raw</t>
  </si>
  <si>
    <t>Huso huso</t>
  </si>
  <si>
    <t>Beluga</t>
  </si>
  <si>
    <t>length and weight of fish: 52-65cm, 910-1510g</t>
  </si>
  <si>
    <t>Proximates expressed per DM - conversion to FW; FA converted using XFA; AAS = sum of methione and cystein;</t>
  </si>
  <si>
    <t>fi93</t>
  </si>
  <si>
    <t>0901519</t>
  </si>
  <si>
    <t>Beluga sturgeon, farmed (2yr), skinless fillet (white and red muscle), raw</t>
  </si>
  <si>
    <t>length and weight of fish: 84-98cm, 4250-6860g</t>
  </si>
  <si>
    <t>0901520</t>
  </si>
  <si>
    <t>Beluga sturgeon, farmed (3yr), skinless fillet (white and red muscle), raw</t>
  </si>
  <si>
    <t>length and weight of fish: 109cm, 9252-12500g</t>
  </si>
  <si>
    <t>0901521</t>
  </si>
  <si>
    <t>Beluga sturgeon, farmed (4yr), skinless dorsal fillet (white and red muscle), raw</t>
  </si>
  <si>
    <t>length and weight of fish: 122-136cm, 15700-18600g</t>
  </si>
  <si>
    <t>0901522</t>
  </si>
  <si>
    <t>Beluga sturgeon, farmed (5yr), skinless dorsal fillet (white and red muscle), raw</t>
  </si>
  <si>
    <t>length and weight of fish: 145-158cm, 19900-24300g</t>
  </si>
  <si>
    <t>0901523</t>
  </si>
  <si>
    <t>Unknown (samples from Turkey, Hatay, local fish market)</t>
  </si>
  <si>
    <t>African catfish, fillet, raw</t>
  </si>
  <si>
    <t>length and weight of fish: 25-30cm, 250-300g</t>
  </si>
  <si>
    <t>Minerals expressed per DM - conversion to FW; Vitamins assumed to be expressed on a FW basis</t>
  </si>
  <si>
    <t>fi97</t>
  </si>
  <si>
    <t>0901524</t>
  </si>
  <si>
    <t>African catfish, fillet, oven-baked</t>
  </si>
  <si>
    <t>length and weight of fish: 25-30cm, 250-300g; oven-baking: 200°C, 5min</t>
  </si>
  <si>
    <t>0901525</t>
  </si>
  <si>
    <t>African catfish, fillet, grilled</t>
  </si>
  <si>
    <t>length and weight of fish: 25-30cm, 250-300g; grilling: 200°C, 10min</t>
  </si>
  <si>
    <t>0901526</t>
  </si>
  <si>
    <t>African catfish, fillet, microwaved</t>
  </si>
  <si>
    <t>length and weight of fish: 25-30cm, 250-300g; microwave-cooking: 2450MHz, 4min</t>
  </si>
  <si>
    <t>0901527</t>
  </si>
  <si>
    <t>African catfish, fillet, fried (sunflower oil)</t>
  </si>
  <si>
    <t xml:space="preserve">length and weight of fish: 25-30cm, 250-300g; </t>
  </si>
  <si>
    <t>0901528</t>
  </si>
  <si>
    <t>Unknown (samples from local fish market, Hyderabad, India)</t>
  </si>
  <si>
    <t>GUT</t>
  </si>
  <si>
    <t>Seer, wild, skinless, muscle flesh, raw</t>
  </si>
  <si>
    <t>Scomberomorus guttatus</t>
  </si>
  <si>
    <t>Indo-Pacific king mackerel</t>
  </si>
  <si>
    <t>Dec 1988-Mar 1989</t>
  </si>
  <si>
    <t>fi98</t>
  </si>
  <si>
    <t>0901529</t>
  </si>
  <si>
    <t>HIL</t>
  </si>
  <si>
    <t>Hilsa (marine), wild, skinless, muscle flesh, raw</t>
  </si>
  <si>
    <t>Hilsa hilsa</t>
  </si>
  <si>
    <t>Hilsa shad</t>
  </si>
  <si>
    <t>Tenualosa ilisha</t>
  </si>
  <si>
    <t>Dec 1988-Mar 1990</t>
  </si>
  <si>
    <t>0901530</t>
  </si>
  <si>
    <t>EYP</t>
  </si>
  <si>
    <t>Anchovy, wild, skinless, muscle flesh, raw</t>
  </si>
  <si>
    <t>Thryssa purava</t>
  </si>
  <si>
    <t>Oblique-jaw thryssa</t>
  </si>
  <si>
    <t>Dec 1988-Mar 1991</t>
  </si>
  <si>
    <t>0901531</t>
  </si>
  <si>
    <t>Pomfret (Black), wild, skinless, muscle flesh, raw</t>
  </si>
  <si>
    <t>Parastromteur niger</t>
  </si>
  <si>
    <t>Dec 1988-Mar 1992</t>
  </si>
  <si>
    <t>[80]</t>
  </si>
  <si>
    <t>[17]</t>
  </si>
  <si>
    <t>[6.1]</t>
  </si>
  <si>
    <t>0901532</t>
  </si>
  <si>
    <t>OTI</t>
  </si>
  <si>
    <t>Jew fish, wild, skinless, muscle flesh, raw</t>
  </si>
  <si>
    <t>Pseudosciaena diacanthus</t>
  </si>
  <si>
    <t>Blackspotted croaker</t>
  </si>
  <si>
    <t>Protonibea diacanthus</t>
  </si>
  <si>
    <t>Dec 1988-Mar 1993</t>
  </si>
  <si>
    <t>0901533</t>
  </si>
  <si>
    <t>MUF</t>
  </si>
  <si>
    <t>Mullet, wild, skinless, muscle flesh, raw</t>
  </si>
  <si>
    <t>Mugil cephalus</t>
  </si>
  <si>
    <t>Flathead grey mullet</t>
  </si>
  <si>
    <t>Dec 1988-Mar 1994</t>
  </si>
  <si>
    <t>0901534</t>
  </si>
  <si>
    <t>Mackerel, wild, skinless, muscle flesh, raw</t>
  </si>
  <si>
    <t>Dec 1988-Mar 1995</t>
  </si>
  <si>
    <t>0901535</t>
  </si>
  <si>
    <t>PCX</t>
  </si>
  <si>
    <t>Conger eel, wild, skinless, muscle flesh, raw</t>
  </si>
  <si>
    <t>Muraenesox talabon</t>
  </si>
  <si>
    <t>Pike-congers nei</t>
  </si>
  <si>
    <t>Muraenesox spp</t>
  </si>
  <si>
    <t>Dec 1988-Mar 1996</t>
  </si>
  <si>
    <t>0901536</t>
  </si>
  <si>
    <t>Pomfret (White), wild, skinless, muscle flesh, raw</t>
  </si>
  <si>
    <t>Dec 1988-Mar 1997</t>
  </si>
  <si>
    <t>0901537</t>
  </si>
  <si>
    <t>TRE</t>
  </si>
  <si>
    <t>Trevally, wild, skinless, muscle flesh, raw</t>
  </si>
  <si>
    <t>Caranx sansun</t>
  </si>
  <si>
    <t>Jacks, crevalles nei</t>
  </si>
  <si>
    <t>Caranx spp</t>
  </si>
  <si>
    <t>0901538</t>
  </si>
  <si>
    <t>NNJ</t>
  </si>
  <si>
    <t>Pinkperch, wild, skinless, muscle flesh, raw</t>
  </si>
  <si>
    <t>Nemipterus japonicus</t>
  </si>
  <si>
    <t>Japanese threadfin bream</t>
  </si>
  <si>
    <t>Dec 1988-Mar 1999</t>
  </si>
  <si>
    <t>0901539</t>
  </si>
  <si>
    <t>Lesser sardine, wild, skinless, muscle flesh, raw</t>
  </si>
  <si>
    <t>Dec 1988-Mar 2000</t>
  </si>
  <si>
    <t>0901540</t>
  </si>
  <si>
    <t>OYD</t>
  </si>
  <si>
    <t>Thread fins, wild, skinless, muscle flesh, raw</t>
  </si>
  <si>
    <t>Polynemus indicus</t>
  </si>
  <si>
    <t>Indian threadfin</t>
  </si>
  <si>
    <t>Leptomelanosoma indicum</t>
  </si>
  <si>
    <t>Dec 1988-Mar 2001</t>
  </si>
  <si>
    <t>0901541</t>
  </si>
  <si>
    <t>BUC</t>
  </si>
  <si>
    <t>Bombay duck, wild, skinless, muscle flesh, raw</t>
  </si>
  <si>
    <t>Harpodon nehereus</t>
  </si>
  <si>
    <t>Bombay-duck</t>
  </si>
  <si>
    <t>Harpadon nehereus</t>
  </si>
  <si>
    <t>Dec 1988-Mar 2002</t>
  </si>
  <si>
    <t>0901542</t>
  </si>
  <si>
    <t>GIP</t>
  </si>
  <si>
    <t>Giant perch (marine), wild, skinless, muscle flesh, raw</t>
  </si>
  <si>
    <t>Lates calcarifer</t>
  </si>
  <si>
    <t>Barramundi</t>
  </si>
  <si>
    <t>Dec 1988-Mar 2003</t>
  </si>
  <si>
    <t>[78.2]</t>
  </si>
  <si>
    <t>[16]</t>
  </si>
  <si>
    <t>[0.7]</t>
  </si>
  <si>
    <t>0901543</t>
  </si>
  <si>
    <t>RSK</t>
  </si>
  <si>
    <t>Shark, wild, skinless, muscle flesh, raw</t>
  </si>
  <si>
    <t>Scoliodon sorrakowah</t>
  </si>
  <si>
    <t>Requiem sharks nei</t>
  </si>
  <si>
    <t>Carcharhinidae</t>
  </si>
  <si>
    <t>Dec 1988-Mar 2004</t>
  </si>
  <si>
    <t>0901544</t>
  </si>
  <si>
    <t>CAX</t>
  </si>
  <si>
    <t>Cat fish, wild, skinless, muscle flesh, raw</t>
  </si>
  <si>
    <t>Tachysurus zona</t>
  </si>
  <si>
    <t>Ariidae</t>
  </si>
  <si>
    <t>Dec 1988-Mar 2005</t>
  </si>
  <si>
    <t>0901545</t>
  </si>
  <si>
    <t>KNA</t>
  </si>
  <si>
    <t>Murrel, wild, skinless, muscle flesh, raw</t>
  </si>
  <si>
    <t>Ophiocephalus marules</t>
  </si>
  <si>
    <t xml:space="preserve">Great snakehead </t>
  </si>
  <si>
    <t>Channa marulius</t>
  </si>
  <si>
    <t>Dec 1988-Mar 2006</t>
  </si>
  <si>
    <t>0901546</t>
  </si>
  <si>
    <t>Rohu, wild, skinless, muscle flesh, raw</t>
  </si>
  <si>
    <t>Dec 1988-Mar 2007</t>
  </si>
  <si>
    <t>0901547</t>
  </si>
  <si>
    <t>Catla, wild, skinless, muscle flesh, raw</t>
  </si>
  <si>
    <t>Dec 1988-Mar 2008</t>
  </si>
  <si>
    <t>0901548</t>
  </si>
  <si>
    <t>Unknown (sampled in Venezuela, Maracaibo, local fish market)</t>
  </si>
  <si>
    <t>FSI</t>
  </si>
  <si>
    <t>Armadillo</t>
  </si>
  <si>
    <t>muscle flesh, skinless, raw</t>
  </si>
  <si>
    <t>Hypostomus watwata</t>
  </si>
  <si>
    <t>Freshwater siluroids nei</t>
  </si>
  <si>
    <t>Siluroidei</t>
  </si>
  <si>
    <t>fi99</t>
  </si>
  <si>
    <t>0901549</t>
  </si>
  <si>
    <t>PLR</t>
  </si>
  <si>
    <t>Bocachico</t>
  </si>
  <si>
    <t>Netted prochilod, muscle flesh, skinless, raw</t>
  </si>
  <si>
    <t>Prochilodus reticulatus</t>
  </si>
  <si>
    <t>Netted prochilod</t>
  </si>
  <si>
    <t>0901550</t>
  </si>
  <si>
    <t>CSM</t>
  </si>
  <si>
    <t>Cachama</t>
  </si>
  <si>
    <t>Cachama, muscle flesh, skinless, raw</t>
  </si>
  <si>
    <t>Colossoma macropomum</t>
  </si>
  <si>
    <t>0901551</t>
  </si>
  <si>
    <t>MOJ</t>
  </si>
  <si>
    <t>Carpeta</t>
  </si>
  <si>
    <t>Eugerres plumieri</t>
  </si>
  <si>
    <t>Mojarras(=Silver-biddies) nei</t>
  </si>
  <si>
    <t>Gerres spp</t>
  </si>
  <si>
    <t>0901552</t>
  </si>
  <si>
    <t>YNA</t>
  </si>
  <si>
    <t>Acoupa weakfish, muscle flesh, skinless, raw</t>
  </si>
  <si>
    <t>Cynoscion maracaiboensis</t>
  </si>
  <si>
    <t>Acoupa weakfish</t>
  </si>
  <si>
    <t>Cynoscion acoupa</t>
  </si>
  <si>
    <t>0901553</t>
  </si>
  <si>
    <t>MGU</t>
  </si>
  <si>
    <t>Lisa</t>
  </si>
  <si>
    <t>White mullet, muscle flesh, skinless, raw</t>
  </si>
  <si>
    <t>Mugil curema</t>
  </si>
  <si>
    <t>White mullet</t>
  </si>
  <si>
    <t>0901554</t>
  </si>
  <si>
    <t>HOF</t>
  </si>
  <si>
    <t>Merluza</t>
  </si>
  <si>
    <t>Offshore silver hake, muscle flesh, skinless, raw</t>
  </si>
  <si>
    <t>Merluccius albidus</t>
  </si>
  <si>
    <t>Offshore silver hake</t>
  </si>
  <si>
    <t>0901555</t>
  </si>
  <si>
    <t>GPN</t>
  </si>
  <si>
    <t>Mero</t>
  </si>
  <si>
    <t>Nassau grouper, muscle flesh, skinless, raw</t>
  </si>
  <si>
    <t>Epinephelus striatus</t>
  </si>
  <si>
    <t>Nassau grouper</t>
  </si>
  <si>
    <t>0901556</t>
  </si>
  <si>
    <t>LJU</t>
  </si>
  <si>
    <t>Pargo</t>
  </si>
  <si>
    <t>Blackfin snapper, muscle flesh, skinless, raw</t>
  </si>
  <si>
    <t>Lutjanus buccanella</t>
  </si>
  <si>
    <t>Blackfin snapper</t>
  </si>
  <si>
    <t>0901557</t>
  </si>
  <si>
    <t>SNO</t>
  </si>
  <si>
    <t>Robalo</t>
  </si>
  <si>
    <t>Common snook, muscle flesh, skinless, raw</t>
  </si>
  <si>
    <t>Centropomus undecimalis</t>
  </si>
  <si>
    <t>Common snook</t>
  </si>
  <si>
    <t>0901558</t>
  </si>
  <si>
    <t>TLP</t>
  </si>
  <si>
    <t>Tilapia</t>
  </si>
  <si>
    <t>Tilapia, muscle flesh, skinless, raw</t>
  </si>
  <si>
    <t>Oreochromis sp.</t>
  </si>
  <si>
    <t>Tilapias nei</t>
  </si>
  <si>
    <t>Oreochromis (=Tilapia) spp</t>
  </si>
  <si>
    <t>0901559</t>
  </si>
  <si>
    <t>Trucha</t>
  </si>
  <si>
    <t>Rainbow trout, muscle flesh, skinless, raw</t>
  </si>
  <si>
    <t>0901560</t>
  </si>
  <si>
    <t>Brazil, Santa Maria</t>
  </si>
  <si>
    <t>RMQ</t>
  </si>
  <si>
    <t>Silver catfish, farmed, bone-, skinless fillet, raw</t>
  </si>
  <si>
    <t>Rhamdia quelen</t>
  </si>
  <si>
    <t>Autumn 2006</t>
  </si>
  <si>
    <t>fi101</t>
  </si>
  <si>
    <t>0901561</t>
  </si>
  <si>
    <t>Silver catfish, farmed, bone-, skinless fillet, boiled</t>
  </si>
  <si>
    <t>0901562</t>
  </si>
  <si>
    <t>Silver catfish, farmed, bone-, skinless fillet, oven-baked</t>
  </si>
  <si>
    <t>0901563</t>
  </si>
  <si>
    <t>Silver catfish, farmed, bone-, skinless fillet, microwave-baked</t>
  </si>
  <si>
    <t>0901564</t>
  </si>
  <si>
    <t>Silver catfish, farmed, bone-, skinless fillet, grilled</t>
  </si>
  <si>
    <t>[64.9]</t>
  </si>
  <si>
    <t>[25.7]</t>
  </si>
  <si>
    <t>[3.79]</t>
  </si>
  <si>
    <t>[1.97]</t>
  </si>
  <si>
    <t>0901565</t>
  </si>
  <si>
    <t>Silver catfish, farmed, bone-, skinless fillet, fried in soybean oil</t>
  </si>
  <si>
    <t>[45.4]</t>
  </si>
  <si>
    <t>[33.4]</t>
  </si>
  <si>
    <t>[14]</t>
  </si>
  <si>
    <t>[2.47]</t>
  </si>
  <si>
    <t>0901566</t>
  </si>
  <si>
    <t>Silver catfish, farmed, bone-, skinless fillet, fried in hydrogenated veg. oil</t>
  </si>
  <si>
    <t>[46.9]</t>
  </si>
  <si>
    <t>[32.2]</t>
  </si>
  <si>
    <t>[14.1]</t>
  </si>
  <si>
    <t>[2.5]</t>
  </si>
  <si>
    <t>0901567</t>
  </si>
  <si>
    <t>Sep 2004</t>
  </si>
  <si>
    <t>fi105</t>
  </si>
  <si>
    <t>0901568</t>
  </si>
  <si>
    <t>Pike, farmed, skinless fillet, raw</t>
  </si>
  <si>
    <t>Nov 2004</t>
  </si>
  <si>
    <t>0901569</t>
  </si>
  <si>
    <t>Pike-perch, farmed, skinless fillet, raw</t>
  </si>
  <si>
    <t>0901570</t>
  </si>
  <si>
    <t>Germany</t>
  </si>
  <si>
    <t>Rainbow trout, farmed (conventionally), skinless fillet, raw</t>
  </si>
  <si>
    <t>Jun 2002</t>
  </si>
  <si>
    <t>0901571</t>
  </si>
  <si>
    <t>Oct 2002</t>
  </si>
  <si>
    <t>0901572</t>
  </si>
  <si>
    <t>Dec 2002</t>
  </si>
  <si>
    <t>0901573</t>
  </si>
  <si>
    <t>May 2003</t>
  </si>
  <si>
    <t>0901574</t>
  </si>
  <si>
    <t>Rainbow trout, farmed (organically) skinless fillet, raw</t>
  </si>
  <si>
    <t>Nov 2002</t>
  </si>
  <si>
    <t>0901575</t>
  </si>
  <si>
    <t>Sep 2003</t>
  </si>
  <si>
    <t>0901576</t>
  </si>
  <si>
    <t>Ireland</t>
  </si>
  <si>
    <t>Salmon, farmed, (conventionally), skinless fillet, raw</t>
  </si>
  <si>
    <t>Sep 2002</t>
  </si>
  <si>
    <t>0901577</t>
  </si>
  <si>
    <t>Norway</t>
  </si>
  <si>
    <t>Apr 2003</t>
  </si>
  <si>
    <t>0901578</t>
  </si>
  <si>
    <t>0901579</t>
  </si>
  <si>
    <t>Jun 2003</t>
  </si>
  <si>
    <t>0901580</t>
  </si>
  <si>
    <t>Salmon, farmed (organically), skinless fillet, raw</t>
  </si>
  <si>
    <t>0901581</t>
  </si>
  <si>
    <t>0901582</t>
  </si>
  <si>
    <t>Salmon, farmed (conventionally), edible portion, smoked</t>
  </si>
  <si>
    <t>0901583</t>
  </si>
  <si>
    <t>UK, Scotland</t>
  </si>
  <si>
    <t>0901584</t>
  </si>
  <si>
    <t>Unknown, Scandinavia</t>
  </si>
  <si>
    <t>0901585</t>
  </si>
  <si>
    <t>BNC</t>
  </si>
  <si>
    <t>Matrinxã</t>
  </si>
  <si>
    <t>Matrinxã, dorsolateral fillet, skin-on, raw</t>
  </si>
  <si>
    <t>Brycon cephalus</t>
  </si>
  <si>
    <t>average weight and length of fish: 751.9g, 32.8cm</t>
  </si>
  <si>
    <t>PRO-/FAT- (analyzed according to AOAC 1995)</t>
  </si>
  <si>
    <t>fi106</t>
  </si>
  <si>
    <t>0901586</t>
  </si>
  <si>
    <t>Matrinxã, dorsolateral fillet, skin-on, salted (brined), hot smoked</t>
  </si>
  <si>
    <t>average weight and length of fish: 751.9g, 32.8cm; hot smoking: 45-90 °C for 5h</t>
  </si>
  <si>
    <t>0901587</t>
  </si>
  <si>
    <t>Matrinxã, dorsolateral fillet, skin-on, salted (brined), cold smoked</t>
  </si>
  <si>
    <t>average weight and length of fish: 751.9g, 32.8cm; cold smoking: 27-45 °C for 10h</t>
  </si>
  <si>
    <t>0901588</t>
  </si>
  <si>
    <t>Thailand, Kalasin province</t>
  </si>
  <si>
    <t>CGM</t>
  </si>
  <si>
    <t>Hybrid catfish, farmed, skinless fillet, raw, chilled storage</t>
  </si>
  <si>
    <t>Clarias macrocephalus x Clarias gariepinus</t>
  </si>
  <si>
    <t>Catfish, hybrid</t>
  </si>
  <si>
    <t>C.gariepinus x C.macrocephalus</t>
  </si>
  <si>
    <t>chilled storage 4˚C for 0d; fish weight: 150-225g, 6-10 months old</t>
  </si>
  <si>
    <t>PRO-/FAT- (analyzed according to AOAC 1999)</t>
  </si>
  <si>
    <t>fi107</t>
  </si>
  <si>
    <t>0901589</t>
  </si>
  <si>
    <t>stored at 4˚C for 3d; fish weight: 150-225g, 6-10 months old</t>
  </si>
  <si>
    <t>0901590</t>
  </si>
  <si>
    <t>stored at 4˚C for 6d; fish weight: 150-225g, 6-10 months old</t>
  </si>
  <si>
    <t>0901591</t>
  </si>
  <si>
    <t>stored at 4˚C for 9d; fish weight: 150-225g, 6-10 months old</t>
  </si>
  <si>
    <t>[74.14]</t>
  </si>
  <si>
    <t>[17.7]</t>
  </si>
  <si>
    <t>[2.96]</t>
  </si>
  <si>
    <t>[1.16]</t>
  </si>
  <si>
    <t>0901592</t>
  </si>
  <si>
    <t>stored at 4˚C for 12d; fish weight: 150-225g, 6-10 months old</t>
  </si>
  <si>
    <t>[17.4]</t>
  </si>
  <si>
    <t>[1.17]</t>
  </si>
  <si>
    <t>0901593</t>
  </si>
  <si>
    <t>stored at 4˚C for 15d; fish weight: 150-225g, 6-10 months old</t>
  </si>
  <si>
    <t>[73.71]</t>
  </si>
  <si>
    <t>[17.25]</t>
  </si>
  <si>
    <t>[2.95]</t>
  </si>
  <si>
    <t>[1.18]</t>
  </si>
  <si>
    <t>0901594</t>
  </si>
  <si>
    <t>Matrinxã, farmed (pond), fillet, raw</t>
  </si>
  <si>
    <t>Sep-Dec 1999</t>
  </si>
  <si>
    <t>comercial fish diet (28-40% fat, 5-12% protein)</t>
  </si>
  <si>
    <t>PRO- (analyzed according to AOAC 1998); FA converted using XFA</t>
  </si>
  <si>
    <t>fi108</t>
  </si>
  <si>
    <t>0901595</t>
  </si>
  <si>
    <t>Matrinxã, farmed (cage), fillet, raw</t>
  </si>
  <si>
    <t>0901596</t>
  </si>
  <si>
    <t>CHA</t>
  </si>
  <si>
    <t>Piraputanga</t>
  </si>
  <si>
    <t>Piraputanga, farmed (pond), fillet, raw</t>
  </si>
  <si>
    <t>Brycon microlepis</t>
  </si>
  <si>
    <t>Characins nei</t>
  </si>
  <si>
    <t>0901597</t>
  </si>
  <si>
    <t>BNO</t>
  </si>
  <si>
    <t>Piracanjuba</t>
  </si>
  <si>
    <t>Piracanjuba, farmed (pond), fillet, raw</t>
  </si>
  <si>
    <t>Brycon orbignyanus</t>
  </si>
  <si>
    <t>0901598</t>
  </si>
  <si>
    <t>Piracanjuba, farmed (cage), fillet, raw</t>
  </si>
  <si>
    <t>0901599</t>
  </si>
  <si>
    <t>Brazil, Maringa</t>
  </si>
  <si>
    <t>Pintado, farmed, muscle tissue, raw</t>
  </si>
  <si>
    <t>Pseudoplatystoma coruscans</t>
  </si>
  <si>
    <t>Aug (drought period)</t>
  </si>
  <si>
    <t>mean fish weight: 7200g; Commercial fish diet: 12.7% water, 42.0% protein, 12.9% ash, 10.2% lipid; FA expressed as % FAME</t>
  </si>
  <si>
    <t>PRO- (analyzed according to AOAC 1998); FAME converted using ShF and XFA</t>
  </si>
  <si>
    <t>fi109</t>
  </si>
  <si>
    <t>0901600</t>
  </si>
  <si>
    <t>Pacu, farmed, muscle tissue, raw</t>
  </si>
  <si>
    <t>mean fish weight: 2504g; Commercial fish diet: 12.7% water, 42.0% protein, 12.9% ash, 10.2% lipid; FA expressed as % FAME</t>
  </si>
  <si>
    <t>0901601</t>
  </si>
  <si>
    <t>Poland, Dgał</t>
  </si>
  <si>
    <t>Northern pike, farmed, fillet, raw</t>
  </si>
  <si>
    <t>Commercial fish diet: Nutra Classic and Nutra Classic T-3P (Trouvit, France): protein: 45%, fat 16%; FA as % of FACID, FACID calculated using CF</t>
  </si>
  <si>
    <t>fi110</t>
  </si>
  <si>
    <t>0901602</t>
  </si>
  <si>
    <t>Australia, Warrnambool</t>
  </si>
  <si>
    <t>MCP</t>
  </si>
  <si>
    <t>Murray cod, farmed purged 0weeks), muscle fillet, raw</t>
  </si>
  <si>
    <t>Maccullochella peelii peelii (Mitchell)</t>
  </si>
  <si>
    <t>Murray cod</t>
  </si>
  <si>
    <t>Maccullochella peelii</t>
  </si>
  <si>
    <t>mean weight of fish: 746g; commercial fish diet Nova, Skretting, Tasmania, Australia: protein: 45%, lipid: 22%; proximates given as mg/g (w/w basis); FA given as mg/g lipid - direct calculation</t>
  </si>
  <si>
    <t>fi111</t>
  </si>
  <si>
    <t>[0.27]</t>
  </si>
  <si>
    <t>0901603</t>
  </si>
  <si>
    <t>Murray cod, farmed (purged 2weeks), muscle fillet, raw</t>
  </si>
  <si>
    <t>mean weight of fish: 628g; commercial fish diet Nova, Skretting, Tasmania, Australia: protein: 45%, lipid: 22%; proximates given as mg/g (w/w basis); FA given as mg/g lipid - direct calculation</t>
  </si>
  <si>
    <t>[0.24]</t>
  </si>
  <si>
    <t>0901604</t>
  </si>
  <si>
    <t>Murray cod, farmed (purged 4weeks), muscle fillet, raw</t>
  </si>
  <si>
    <t>mean weight of fish: 595g; commercial fish diet Nova, Skretting, Tasmania, Australia: protein: 45%, lipid: 22%; proximates given as mg/g (w/w basis); FA given as mg/g lipid - direct calculation</t>
  </si>
  <si>
    <t>0901605</t>
  </si>
  <si>
    <t>USA, Kentucky State</t>
  </si>
  <si>
    <t>PAM</t>
  </si>
  <si>
    <t>Paddlefish, farmed, whole fillet (white and red muscle), skinless, raw</t>
  </si>
  <si>
    <t>Polyodon spathula</t>
  </si>
  <si>
    <t>Mississippi paddlefish</t>
  </si>
  <si>
    <t>Sep 1989</t>
  </si>
  <si>
    <t>mean weight of fish: 394-666g, 17 months old; mean values of % FA of polar and non-polar lipid fractions summed up in order to calculate FA composition of total lipids; calc. as % of FACID; FACID calculated using CF</t>
  </si>
  <si>
    <t>fi112</t>
  </si>
  <si>
    <t>0901606</t>
  </si>
  <si>
    <t>Paddlefish, farmed, white muscle fillet, skinless, raw</t>
  </si>
  <si>
    <t xml:space="preserve">mean weight of fish: 394-666g, 17 months old </t>
  </si>
  <si>
    <t>0901607</t>
  </si>
  <si>
    <t>Japan, Kagoshima, local fish market</t>
  </si>
  <si>
    <t>ELJ</t>
  </si>
  <si>
    <t>Japanese eel, farmed, dorsal muscle, raw</t>
  </si>
  <si>
    <t>Anguilla japonica</t>
  </si>
  <si>
    <t>Japanese eel</t>
  </si>
  <si>
    <t>mean fish weight: 220g; FA calc. as % of FACID, FACID calculated using CF</t>
  </si>
  <si>
    <t>PRO- (analyzed according to AOAC 1984); FA converted using XFA</t>
  </si>
  <si>
    <t>fi113</t>
  </si>
  <si>
    <t>0901608</t>
  </si>
  <si>
    <t>Eel, smoked product, salt, sugar</t>
  </si>
  <si>
    <t>fi115</t>
  </si>
  <si>
    <t>[375.5]</t>
  </si>
  <si>
    <t>[48.7]</t>
  </si>
  <si>
    <t>[22.8]</t>
  </si>
  <si>
    <t>[30.6]</t>
  </si>
  <si>
    <t>0901609</t>
  </si>
  <si>
    <t>Sea bass, smoked, salt, sugar</t>
  </si>
  <si>
    <t>0901610</t>
  </si>
  <si>
    <t xml:space="preserve">Norway  </t>
  </si>
  <si>
    <t>Salmon, farmed, smoked product</t>
  </si>
  <si>
    <t>0901611</t>
  </si>
  <si>
    <t>Salmon, farmed, marinated (dill and herbs) product, salt, sugar</t>
  </si>
  <si>
    <t>0901612</t>
  </si>
  <si>
    <t>Norway and other countries</t>
  </si>
  <si>
    <t>0901613</t>
  </si>
  <si>
    <t>Denmark</t>
  </si>
  <si>
    <t xml:space="preserve">Trout, farmed, smoked product, salt </t>
  </si>
  <si>
    <t>0901614</t>
  </si>
  <si>
    <t>Tanzania, Dar es Salaam, Indian Ocean</t>
  </si>
  <si>
    <t>LZX</t>
  </si>
  <si>
    <t>Changu</t>
  </si>
  <si>
    <t>Changu, wild (small size), dorsal muscle fillet, skinless, raw</t>
  </si>
  <si>
    <t>(Lethrinus spp)</t>
  </si>
  <si>
    <t>Nov-Dec 1993</t>
  </si>
  <si>
    <t>mean length and weight: 20cm, 133g; Iodine given in mcg/kg wet weight</t>
  </si>
  <si>
    <t>fi118</t>
  </si>
  <si>
    <t>0901615</t>
  </si>
  <si>
    <t>Changu, wild (medium size), dorsal muscle fillet, skinless, raw</t>
  </si>
  <si>
    <t>mean length and weight: 24cm, 235g; Iodine given in mcg/kg wet weight</t>
  </si>
  <si>
    <t>0901616</t>
  </si>
  <si>
    <t>Changu, wild (large size), dorsal muscle fillet, skinless, raw</t>
  </si>
  <si>
    <t>mean length and weight: 31cm, 537g; Iodine given in mcg/kg wet weight</t>
  </si>
  <si>
    <t>0901617</t>
  </si>
  <si>
    <t>SPI</t>
  </si>
  <si>
    <t>Tasi</t>
  </si>
  <si>
    <t>Tasi, wild (small size), dorsal muscle fillet, skinless, raw</t>
  </si>
  <si>
    <t>Spinefeet(=Rabbitfishes) nei</t>
  </si>
  <si>
    <t>Siganus spp</t>
  </si>
  <si>
    <t>mean length and weight: 19cm, 85g; Iodine given in mcg/kg wet weight</t>
  </si>
  <si>
    <t>0901618</t>
  </si>
  <si>
    <t>Tasi, wild (medium size), dorsal muscle fillet, skinless, raw</t>
  </si>
  <si>
    <t>mean length and weight: 24cm, 181g; Iodine given in mcg/kg wet weight</t>
  </si>
  <si>
    <t>0901619</t>
  </si>
  <si>
    <t>Tasi, wild (large size), dorsal muscle fillet, skinless, raw</t>
  </si>
  <si>
    <t>mean length and weight: 35cm, 620g; Iodine given in mcg/kg wet weight</t>
  </si>
  <si>
    <t>0901620</t>
  </si>
  <si>
    <t>Changu, wild (small size), skin, raw</t>
  </si>
  <si>
    <t>Iodine given in mcg/kg wet weight</t>
  </si>
  <si>
    <t>0901621</t>
  </si>
  <si>
    <t>Changu, wild, (medium size), skin, raw</t>
  </si>
  <si>
    <t>0901622</t>
  </si>
  <si>
    <t>Changu, wild (large size), skin, raw</t>
  </si>
  <si>
    <t>0901623</t>
  </si>
  <si>
    <t>Tasi, wild (small size), skin, raw</t>
  </si>
  <si>
    <t>(Siganus spp)</t>
  </si>
  <si>
    <t>0901624</t>
  </si>
  <si>
    <t>Tasi, wild, (medium size), skin, raw</t>
  </si>
  <si>
    <t>0901625</t>
  </si>
  <si>
    <t>Tasi, wild (large size), skin, raw</t>
  </si>
  <si>
    <t>0901626</t>
  </si>
  <si>
    <t>TAI</t>
  </si>
  <si>
    <t>Pawale</t>
  </si>
  <si>
    <t>Pawale, wild, whole, raw</t>
  </si>
  <si>
    <t>Indo-Pacific tarpon</t>
  </si>
  <si>
    <t>(Megalops cyprinoides)</t>
  </si>
  <si>
    <t>mean length and weight: 7.5cm, 5.1g; Iodine given in mcg/kg wet weight</t>
  </si>
  <si>
    <t>0901627</t>
  </si>
  <si>
    <t>Dagaa mchete</t>
  </si>
  <si>
    <t>Dagaa mchete, wild, whole, raw</t>
  </si>
  <si>
    <t>Cyprinids nei</t>
  </si>
  <si>
    <t>(Cyprinidae)</t>
  </si>
  <si>
    <t>mean length and weight: 10.2cm, 7.5g; Iodine given in mcg/kg wet weight</t>
  </si>
  <si>
    <t>0901628</t>
  </si>
  <si>
    <t>Dagaa papa</t>
  </si>
  <si>
    <t>Dagaa papa, wild, whole, raw</t>
  </si>
  <si>
    <t>0901629</t>
  </si>
  <si>
    <t>Dagaa kavu</t>
  </si>
  <si>
    <t>Dagaa kavu, wild, whole, raw</t>
  </si>
  <si>
    <t>0901630</t>
  </si>
  <si>
    <t>Prawns, wild, whole, raw</t>
  </si>
  <si>
    <t>(Natantia)</t>
  </si>
  <si>
    <t>0901631</t>
  </si>
  <si>
    <t>Dagaa mchete, wild, whole fish, raw</t>
  </si>
  <si>
    <t>mean length and weight: 10.4cm, 8.5g; Iodine given in mcg/kg wet weight</t>
  </si>
  <si>
    <t>0901632</t>
  </si>
  <si>
    <t>Ethiopia, Zwai, Lake Zwai</t>
  </si>
  <si>
    <t>HXP</t>
  </si>
  <si>
    <t>Carp, wild (small size), dorsal muscle fillet, skinless, raw</t>
  </si>
  <si>
    <t>Carps nei</t>
  </si>
  <si>
    <t>Hypophthalmichthys spp</t>
  </si>
  <si>
    <t>Nov 1993</t>
  </si>
  <si>
    <t>mean length and weight: 24cm, 191g; Iodine given in mcg/kg wet weight</t>
  </si>
  <si>
    <t>0901633</t>
  </si>
  <si>
    <t>Finland</t>
  </si>
  <si>
    <t>Rainbow trout, farmed, skinless fillet, raw</t>
  </si>
  <si>
    <t>fi119</t>
  </si>
  <si>
    <t>0901634</t>
  </si>
  <si>
    <t>Rainbow trout, farmed skinless fillet, raw</t>
  </si>
  <si>
    <t>0901635</t>
  </si>
  <si>
    <t>0901636</t>
  </si>
  <si>
    <t>0901637</t>
  </si>
  <si>
    <t>Rainbow trout, farmed skinless fillet, oven-baked</t>
  </si>
  <si>
    <t>0901638</t>
  </si>
  <si>
    <t>0901639</t>
  </si>
  <si>
    <t>0901640</t>
  </si>
  <si>
    <t>0901641</t>
  </si>
  <si>
    <t>USA, MS, Yazoo City</t>
  </si>
  <si>
    <t>Channel catfish, farmed, fillet, raw</t>
  </si>
  <si>
    <t>Apr 1989</t>
  </si>
  <si>
    <t>FAT- (analyzed according to AOAC 1984, method 43.257-43.277); tr= VitC &lt;1.0 mg/100g; CARTB &lt;10mcg/100g; CHO &lt;0.1g/100g; RIBF &lt;0.02mg/100g</t>
  </si>
  <si>
    <t>fi120</t>
  </si>
  <si>
    <t>0901642</t>
  </si>
  <si>
    <t>Channel catfish, farmed, fillet, oven-baked</t>
  </si>
  <si>
    <t>0901643</t>
  </si>
  <si>
    <t>USA, BC, Sechelt Inlet</t>
  </si>
  <si>
    <t>COH</t>
  </si>
  <si>
    <t>Coho salmon, farmed, skinless fillet, raw</t>
  </si>
  <si>
    <t>Oncorhynchus kisutch</t>
  </si>
  <si>
    <t>Coho(=Silver)salmon</t>
  </si>
  <si>
    <t>Jul 1989</t>
  </si>
  <si>
    <t>0901644</t>
  </si>
  <si>
    <t>0901645</t>
  </si>
  <si>
    <t>Coho salmon, farmed, skinless fillet, oven-baked</t>
  </si>
  <si>
    <t>0901646</t>
  </si>
  <si>
    <t>0901647</t>
  </si>
  <si>
    <t>USA, ID, Buhl</t>
  </si>
  <si>
    <t>Salmo gairdneri</t>
  </si>
  <si>
    <t>Jun 1989</t>
  </si>
  <si>
    <t>0901648</t>
  </si>
  <si>
    <t>Rainbow trout, farmed, skinless fillet, oven-baked</t>
  </si>
  <si>
    <t>0901649</t>
  </si>
  <si>
    <t>USA, LA, Atchafalaya Basin</t>
  </si>
  <si>
    <t>RCW</t>
  </si>
  <si>
    <t>Red swamp crayfish, farmed, tail meat, raw</t>
  </si>
  <si>
    <t>Procambarus clarkii</t>
  </si>
  <si>
    <t>Red swamp crawfish</t>
  </si>
  <si>
    <t>Jan 1989</t>
  </si>
  <si>
    <t>FAT- (analyzed using AOAC 1984, method: 43.257-43.277); tr: VitC &lt;1.0 mg/100g; CARTB &lt;10mcg/100g; CHO &lt;0.1g/100g; RIBF &lt;0.02mg/100g</t>
  </si>
  <si>
    <t>0901650</t>
  </si>
  <si>
    <t>Red swamp crayfish, farmed, tail meat, boiled</t>
  </si>
  <si>
    <t>0901651</t>
  </si>
  <si>
    <t>PCC</t>
  </si>
  <si>
    <t>White River crayfish, farmed, tail meat, raw</t>
  </si>
  <si>
    <t>Procambarus acutus acutus</t>
  </si>
  <si>
    <t>White crawfish</t>
  </si>
  <si>
    <t>Procambarus acutus</t>
  </si>
  <si>
    <t>0901652</t>
  </si>
  <si>
    <t>White River crayfish, farmed, tail meat, boiled</t>
  </si>
  <si>
    <t>0901653</t>
  </si>
  <si>
    <t>USA, MD, Nanticoke River</t>
  </si>
  <si>
    <t>OYA</t>
  </si>
  <si>
    <t>Eastern Oysters, farmed, raw</t>
  </si>
  <si>
    <t>Crassostrea virginica</t>
  </si>
  <si>
    <t>American cupped oyster</t>
  </si>
  <si>
    <t>May 1989</t>
  </si>
  <si>
    <t>FAT- ( analyzed according to AOAC 1984: 43.257-43.2770; tr: VitC &lt;1.0 mg/100g; CARTB &lt;10mcg/100g; CHO &lt;0.1g/100g; RIBF &lt;0.02mg/100g</t>
  </si>
  <si>
    <t>[88.6]</t>
  </si>
  <si>
    <t>[5]</t>
  </si>
  <si>
    <t>[1.2]</t>
  </si>
  <si>
    <t>[1.4]</t>
  </si>
  <si>
    <t>0901654</t>
  </si>
  <si>
    <t>Dec 1993</t>
  </si>
  <si>
    <t>fi122</t>
  </si>
  <si>
    <t>0901655</t>
  </si>
  <si>
    <t>May 1993</t>
  </si>
  <si>
    <t>0901656</t>
  </si>
  <si>
    <t>Greece, Ithaca Islands, Mediterranean Sea</t>
  </si>
  <si>
    <t>RPG</t>
  </si>
  <si>
    <t>Red porgy, farmed, muscle flesh, raw</t>
  </si>
  <si>
    <t>Pagrus pagrus</t>
  </si>
  <si>
    <t>Red porgy</t>
  </si>
  <si>
    <t>Mar</t>
  </si>
  <si>
    <t>mean length and weight of fish: 33.70cm, 644g; commercial fish diet (Perseus AG for red fish): 48% protein, 12% fat, 18.5% carbohydrate, 1.5% fiber, 10% moisture, 10% ash</t>
  </si>
  <si>
    <t>FA tr= &lt;0.5 mg/100g food</t>
  </si>
  <si>
    <t>fi124</t>
  </si>
  <si>
    <t>0901657</t>
  </si>
  <si>
    <t>Unknown (samples from fish market, Hangzhou, China)</t>
  </si>
  <si>
    <t>FCG</t>
  </si>
  <si>
    <t>Grass carp, skinless, boneless fillet, raw</t>
  </si>
  <si>
    <t>Ctenopharyngodon idellus</t>
  </si>
  <si>
    <t>Grass carp(=White amur)</t>
  </si>
  <si>
    <t>fi127</t>
  </si>
  <si>
    <t>0901658</t>
  </si>
  <si>
    <t>Grass carp, skinless, boneless fillet, dried (hot air)</t>
  </si>
  <si>
    <t>0901659</t>
  </si>
  <si>
    <t>Grass carp, skinless, boneless fillet, dried (microwave)</t>
  </si>
  <si>
    <t>0901660</t>
  </si>
  <si>
    <t>FPY</t>
  </si>
  <si>
    <t>Yellow perch, farmed, skinless fillet, raw</t>
  </si>
  <si>
    <t>Perca flavescens</t>
  </si>
  <si>
    <t>American yellow perch</t>
  </si>
  <si>
    <t>fish weight: 150g; commercial fish diet (Melick, Aquadiets): 42% protein, 16% lipid</t>
  </si>
  <si>
    <t>All values expressed per DM - conversion to FW; FA converted using XFA</t>
  </si>
  <si>
    <t>fi128</t>
  </si>
  <si>
    <t>0901661</t>
  </si>
  <si>
    <t>USA, Maryland (MD)</t>
  </si>
  <si>
    <t>SBH</t>
  </si>
  <si>
    <t>Striped bass, farmed, skinless fillet (incl. belly flaps), brackish water, male (1y), raw</t>
  </si>
  <si>
    <t>Morone saxatilis x M. chrysops</t>
  </si>
  <si>
    <t>Morone chrysops x M. saxatilis</t>
  </si>
  <si>
    <t>mean length and weight: 26.1cm, 440g; Commercial fish diet for trout (Ziegler Brothers): 38% protein, 8% fat</t>
  </si>
  <si>
    <t>fi132</t>
  </si>
  <si>
    <t>0901662</t>
  </si>
  <si>
    <t>Striped bass, farmed, skinless fillet (incl. belly flaps), male (1y), raw</t>
  </si>
  <si>
    <t>Striped bass, hybrid</t>
  </si>
  <si>
    <t>mean length and weight: 22.1cm, 300g; Commercial fish diet for trout (Ziegler Brothers): 38% protein, 8% fat</t>
  </si>
  <si>
    <t>0901663</t>
  </si>
  <si>
    <t>Italy, Brescia</t>
  </si>
  <si>
    <t>Striped bass, farmed, small size (9-10mo), skin-on fillet, raw</t>
  </si>
  <si>
    <t>Jul 1999</t>
  </si>
  <si>
    <t>Commercial fish diet: Aqualife 18, BioMarch S.r.l.): 46.6% protein, 6.1% moisture, 23.4% lipid, 1.0% fibre</t>
  </si>
  <si>
    <t>PRO- (analyzed according to AOAC 1990); FA converted using XFA</t>
  </si>
  <si>
    <t>fi134</t>
  </si>
  <si>
    <t>0901664</t>
  </si>
  <si>
    <t>Striped bass, farmed, small size (9-10mo), skinless fillet, raw</t>
  </si>
  <si>
    <t>Commercial fish diet: Aqualife 18, BioMarch S.r.l.): 46.6% protein, 6.1% moisture, 23.4% lipid, 1.0% fibre; FA calc. as % of FACID, FACID calculated using CF</t>
  </si>
  <si>
    <t>0901665</t>
  </si>
  <si>
    <t>Striped bass, farmed, medium size (13-14mo), skin-on fillet, raw</t>
  </si>
  <si>
    <t>0901666</t>
  </si>
  <si>
    <t>Striped bass, farmed, medium size (13-14mo), skinless fillet, raw</t>
  </si>
  <si>
    <t>0901667</t>
  </si>
  <si>
    <t>Striped bass, farmed, large size (18-19mo), skin-on fillet, raw</t>
  </si>
  <si>
    <t>0901668</t>
  </si>
  <si>
    <t>Striped bass, farmed, large size (18-19mo), skinless fillet, raw</t>
  </si>
  <si>
    <t>0901669</t>
  </si>
  <si>
    <t xml:space="preserve">mean length and weight of fish: 28.9cm, 259g </t>
  </si>
  <si>
    <t>fi136</t>
  </si>
  <si>
    <t>0901670</t>
  </si>
  <si>
    <t>Sea bass, farmed, fillet, fried (sunflower oil)</t>
  </si>
  <si>
    <t>0901671</t>
  </si>
  <si>
    <t>Sea bass, farmed, fillet, microwaved</t>
  </si>
  <si>
    <t>0901672</t>
  </si>
  <si>
    <t>Sea bass, farmed, fillet, baked</t>
  </si>
  <si>
    <t>0901673</t>
  </si>
  <si>
    <t>Sea bass, farmed, fillet, grilled</t>
  </si>
  <si>
    <t>0901674</t>
  </si>
  <si>
    <t>Italy</t>
  </si>
  <si>
    <t>STU</t>
  </si>
  <si>
    <t>Sturgeon, farmed, skinless, bonless fillet (white flesh only; dark muscle and subepithelial fat layer removed), raw</t>
  </si>
  <si>
    <t>Acipenser spp.</t>
  </si>
  <si>
    <t>Sturgeons nei</t>
  </si>
  <si>
    <t>Acipenseridae</t>
  </si>
  <si>
    <t>Apr-Jun 1993</t>
  </si>
  <si>
    <t>age and weight of fish: 42-54 months, 3350-5700g; FA expressed as % FAME</t>
  </si>
  <si>
    <t>fi143</t>
  </si>
  <si>
    <t>0901675</t>
  </si>
  <si>
    <t>Greece, Argosaronikos Gulf</t>
  </si>
  <si>
    <t>Gilthead sea bream, farmed, skinless fillet, raw</t>
  </si>
  <si>
    <t>Jan</t>
  </si>
  <si>
    <t>Commercial fish diet: 45% protein, 22%fat, 15% carbohydrate, 10% moisture, 8% ash; fish weight: 317.9g</t>
  </si>
  <si>
    <t>FAT- (analyzed according to AOAC 1984)</t>
  </si>
  <si>
    <t>fi145</t>
  </si>
  <si>
    <t>0901676</t>
  </si>
  <si>
    <t>Commercial fish diet: 45% protein, 22%fat, 15% carbohydrate, 10% moisture, 8% ash; fish weight: 320.4g</t>
  </si>
  <si>
    <t>0901677</t>
  </si>
  <si>
    <t>Aug</t>
  </si>
  <si>
    <t>Commercial fish diet: 45% protein, 22%fat, 15% carbohydrate, 10% moisture, 8% ash; fish weight: 285.0g</t>
  </si>
  <si>
    <t>0901678</t>
  </si>
  <si>
    <t>Sea trout, farmed, skinless dorsal fillet, frozen</t>
  </si>
  <si>
    <t>FA expressed per DM - conversion to FW</t>
  </si>
  <si>
    <t>fi146</t>
  </si>
  <si>
    <t>0901679</t>
  </si>
  <si>
    <t>Sea trout, farmed, skinless dorsal fillet, boiled</t>
  </si>
  <si>
    <t xml:space="preserve">boiling: 85-90 °C for 10-15min; </t>
  </si>
  <si>
    <t>0901680</t>
  </si>
  <si>
    <t>Sea trout, farmed, skinless dorsal fillet, fried (sunflower oil)</t>
  </si>
  <si>
    <t xml:space="preserve">frying: 150-170 °C for 15-20min; </t>
  </si>
  <si>
    <t>0901681</t>
  </si>
  <si>
    <t>Russia, Siberia</t>
  </si>
  <si>
    <t>0901682</t>
  </si>
  <si>
    <t xml:space="preserve">boiling: 85-90 °C for 10-15min;  </t>
  </si>
  <si>
    <t>0901683</t>
  </si>
  <si>
    <t>0901684</t>
  </si>
  <si>
    <t>Japan</t>
  </si>
  <si>
    <t>Amberjack, farmed, dorsal fillet, raw</t>
  </si>
  <si>
    <t>Jul 2000</t>
  </si>
  <si>
    <t>fi147</t>
  </si>
  <si>
    <t>0901685</t>
  </si>
  <si>
    <t>Aug 2000</t>
  </si>
  <si>
    <t>0901686</t>
  </si>
  <si>
    <t>Oct 2000</t>
  </si>
  <si>
    <t>0901687</t>
  </si>
  <si>
    <t>Nov 2000</t>
  </si>
  <si>
    <t>0901688</t>
  </si>
  <si>
    <t>Dec 2000</t>
  </si>
  <si>
    <t>0901689</t>
  </si>
  <si>
    <t>Jan 2001</t>
  </si>
  <si>
    <t>0901690</t>
  </si>
  <si>
    <t>Feb 2001</t>
  </si>
  <si>
    <t>0901691</t>
  </si>
  <si>
    <t>Mar 2001</t>
  </si>
  <si>
    <t>0901692</t>
  </si>
  <si>
    <t>May 2001</t>
  </si>
  <si>
    <t>0901693</t>
  </si>
  <si>
    <t>Jun 2001</t>
  </si>
  <si>
    <t>0901694</t>
  </si>
  <si>
    <t>India, Tamilnadu, Tuticorin fish-landing center</t>
  </si>
  <si>
    <t>SKJ</t>
  </si>
  <si>
    <t>Skipjack tuna, wild, steak, raw</t>
  </si>
  <si>
    <t>Katsuwonus pelamis</t>
  </si>
  <si>
    <t>Skipjack tuna</t>
  </si>
  <si>
    <t>mean length and weight of fish: 74cm, 6000g</t>
  </si>
  <si>
    <t>CHOLE- (analyzed according to AOAC 1995); FAT expressed per DM - conversion to FW; FAME converted using XFA</t>
  </si>
  <si>
    <t>fi150</t>
  </si>
  <si>
    <t>0901695</t>
  </si>
  <si>
    <t>Skipjack tuna, wild, steak, cooked</t>
  </si>
  <si>
    <t>mean length and weight of fish: 74cm, 6000g; cooked (in boiling water for 10 min)</t>
  </si>
  <si>
    <t>0901696</t>
  </si>
  <si>
    <t>mean length and weight of fish: 74cm, 6000g; cooked (in boiling water for 20 min)</t>
  </si>
  <si>
    <t>0901697</t>
  </si>
  <si>
    <t>mean length and weight of fish: 74cm, 6000g; cooked (in boiling water for 30 min)</t>
  </si>
  <si>
    <t>0901698</t>
  </si>
  <si>
    <t>Skipjack tuna, wild, steak, fried</t>
  </si>
  <si>
    <t>mean length and weight of fish: 74cm, 6000g; fried (in sunflower oil for 5 min)</t>
  </si>
  <si>
    <t>0901699</t>
  </si>
  <si>
    <t>mean length and weight of fish: 74cm, 6000g; fried (in sunflower oil for 7.5 min)</t>
  </si>
  <si>
    <t>0901700</t>
  </si>
  <si>
    <t>mean length and weight of fish: 74cm, 6000g; fried (in sunflower oil for 10 min)</t>
  </si>
  <si>
    <t>0901701</t>
  </si>
  <si>
    <t>Skipjack tuna, wild, steak, canned</t>
  </si>
  <si>
    <t>mean length and weight of fish: 74cm, 6000g; canned (110 ˚C, 90 min)</t>
  </si>
  <si>
    <t>0901702</t>
  </si>
  <si>
    <t>mean length and weight of fish: 74cm, 6000g; canned (115 ˚C, 70 min)</t>
  </si>
  <si>
    <t>0901703</t>
  </si>
  <si>
    <t>mean length and weight of fish: 74cm, 6000g; canned (121 ˚C, 40 min)</t>
  </si>
  <si>
    <t>0901704</t>
  </si>
  <si>
    <t>Skipjack tuna, wild, steak, microwave-cooked</t>
  </si>
  <si>
    <t>mean length and weight of fish: 74cm, 6000g; microwave-cooked for 10 sec</t>
  </si>
  <si>
    <t>0901705</t>
  </si>
  <si>
    <t>mean length and weight of fish: 74cm, 6000g; microwave-cooked (for 15 sec)</t>
  </si>
  <si>
    <t>0901706</t>
  </si>
  <si>
    <t>mean length and weight of fish: 74cm, 6000g; microwave-cooked (for 20 sec)</t>
  </si>
  <si>
    <t>0901707</t>
  </si>
  <si>
    <t>Salmón coho</t>
  </si>
  <si>
    <t>Salmon, skinless fillet, frozen</t>
  </si>
  <si>
    <t>all values given as range (proximates/FA/minerals)</t>
  </si>
  <si>
    <t>fi151</t>
  </si>
  <si>
    <t>60-68.6</t>
  </si>
  <si>
    <t>19.4-20.9</t>
  </si>
  <si>
    <t>7.4-17</t>
  </si>
  <si>
    <t>1.1-1.3</t>
  </si>
  <si>
    <t>283-361</t>
  </si>
  <si>
    <t>0901708</t>
  </si>
  <si>
    <t>Colombia, Bucaramanga</t>
  </si>
  <si>
    <t>Trucha arco iris</t>
  </si>
  <si>
    <t>Trout, farmed, skinless, boneless fillet, raw</t>
  </si>
  <si>
    <t>Salmo gairdnerii</t>
  </si>
  <si>
    <t>69.8-75.9</t>
  </si>
  <si>
    <t>17.8-20.4</t>
  </si>
  <si>
    <t>4.1-8.1</t>
  </si>
  <si>
    <t>1-1.2</t>
  </si>
  <si>
    <t>16-43</t>
  </si>
  <si>
    <t>217-331</t>
  </si>
  <si>
    <t>0901709</t>
  </si>
  <si>
    <t>Tilapia roja</t>
  </si>
  <si>
    <t>Tilapia, farmed, boneless, skinless fillet, raw</t>
  </si>
  <si>
    <t>Oreocliromis sp.</t>
  </si>
  <si>
    <t>72.3-76.9</t>
  </si>
  <si>
    <t>18.4-20.8</t>
  </si>
  <si>
    <t>2.2-4.5</t>
  </si>
  <si>
    <t>1.1-1.5</t>
  </si>
  <si>
    <t>15-33</t>
  </si>
  <si>
    <t>191-285</t>
  </si>
  <si>
    <t>0901710</t>
  </si>
  <si>
    <t>CSD</t>
  </si>
  <si>
    <t>Cachama blanca</t>
  </si>
  <si>
    <t>Pirapatinga, farmed, boneless, skinless fillet, raw</t>
  </si>
  <si>
    <t>Piaractus brachypomus</t>
  </si>
  <si>
    <t>Pirapatinga</t>
  </si>
  <si>
    <t>74.8-79.3</t>
  </si>
  <si>
    <t>16.7-19.3</t>
  </si>
  <si>
    <t>1.6-6.3</t>
  </si>
  <si>
    <t>157-248</t>
  </si>
  <si>
    <t>0901711</t>
  </si>
  <si>
    <t>Unknown (samples from fish market in Mexico City)</t>
  </si>
  <si>
    <t>ALB</t>
  </si>
  <si>
    <t>Albacora</t>
  </si>
  <si>
    <t>Albacore, fillet, raw</t>
  </si>
  <si>
    <t>Thunnus alalunga</t>
  </si>
  <si>
    <t>Albacore</t>
  </si>
  <si>
    <t>fi152</t>
  </si>
  <si>
    <t>0901712</t>
  </si>
  <si>
    <t>RGM</t>
  </si>
  <si>
    <t>Aleta mantarraya</t>
  </si>
  <si>
    <t>California butterfly ray, fillet, raw</t>
  </si>
  <si>
    <t>Gymnura marmorata</t>
  </si>
  <si>
    <t>California butterfly ray</t>
  </si>
  <si>
    <t>0901713</t>
  </si>
  <si>
    <t>Atún</t>
  </si>
  <si>
    <t>Atlantic bluefin tuna, fillet, raw</t>
  </si>
  <si>
    <t>0901714</t>
  </si>
  <si>
    <t>BEM</t>
  </si>
  <si>
    <t>Bagre</t>
  </si>
  <si>
    <t>Gafftopsail sea catfish, fillet, raw</t>
  </si>
  <si>
    <t>Bagre marinus</t>
  </si>
  <si>
    <t>Gafftopsail sea catfish</t>
  </si>
  <si>
    <t>0901715</t>
  </si>
  <si>
    <t>RPU</t>
  </si>
  <si>
    <t>Besuga</t>
  </si>
  <si>
    <t>Vermilion snapper, fillet, raw</t>
  </si>
  <si>
    <t>Rhomboplites aurorubens</t>
  </si>
  <si>
    <t>Vermilion snapper</t>
  </si>
  <si>
    <t>0901716</t>
  </si>
  <si>
    <t>CCR</t>
  </si>
  <si>
    <t>Cazón</t>
  </si>
  <si>
    <t>Smalltail shark, fillet, raw</t>
  </si>
  <si>
    <t>Carcharhinus porosus</t>
  </si>
  <si>
    <t>Smalltail shark</t>
  </si>
  <si>
    <t>0901717</t>
  </si>
  <si>
    <t>LHT</t>
  </si>
  <si>
    <t>Cintilla</t>
  </si>
  <si>
    <t>Largehead hairtail, fillet, raw</t>
  </si>
  <si>
    <t>Trichiurus lepturus</t>
  </si>
  <si>
    <t>Largehead hairtail</t>
  </si>
  <si>
    <t>0901718</t>
  </si>
  <si>
    <t>RUB</t>
  </si>
  <si>
    <t>Cojinuda</t>
  </si>
  <si>
    <t>Blue runner, fillet, raw</t>
  </si>
  <si>
    <t>Caranx crysus</t>
  </si>
  <si>
    <t>Blue runner</t>
  </si>
  <si>
    <t>Caranx crysos</t>
  </si>
  <si>
    <t>0901719</t>
  </si>
  <si>
    <t>SNR</t>
  </si>
  <si>
    <t>Huachinango golfo</t>
  </si>
  <si>
    <t>Northern red snapper, fillet, raw</t>
  </si>
  <si>
    <t>Lutjanus campechanus</t>
  </si>
  <si>
    <t>Northern red snapper</t>
  </si>
  <si>
    <t>0901720</t>
  </si>
  <si>
    <t>LWP</t>
  </si>
  <si>
    <t>Huachinango pacifico</t>
  </si>
  <si>
    <t>Pacific red snapper, fillet, raw</t>
  </si>
  <si>
    <t>Lutjanus peru</t>
  </si>
  <si>
    <t>Pacific red snapper</t>
  </si>
  <si>
    <t>0901721</t>
  </si>
  <si>
    <t>CVJ</t>
  </si>
  <si>
    <t>Jurel</t>
  </si>
  <si>
    <t>Crevalle jack, fillet, raw</t>
  </si>
  <si>
    <t>Caranx hippos</t>
  </si>
  <si>
    <t>Crevalle jack</t>
  </si>
  <si>
    <t>0901722</t>
  </si>
  <si>
    <t>GPR</t>
  </si>
  <si>
    <t>Red grouper, fillet, raw</t>
  </si>
  <si>
    <t>Epinephelus morio</t>
  </si>
  <si>
    <t>Red grouper</t>
  </si>
  <si>
    <t>0901723</t>
  </si>
  <si>
    <t>DUX</t>
  </si>
  <si>
    <t>Mojarra</t>
  </si>
  <si>
    <t>Caitipa mojarra, fillet, raw</t>
  </si>
  <si>
    <t>Diapterus rhombeus</t>
  </si>
  <si>
    <t>Diapterus spp</t>
  </si>
  <si>
    <t>0901724</t>
  </si>
  <si>
    <t>KGM</t>
  </si>
  <si>
    <t>Peto carito</t>
  </si>
  <si>
    <t>King mackerel, fillet, raw</t>
  </si>
  <si>
    <t>Scomberomorus cavalla</t>
  </si>
  <si>
    <t>King mackerel</t>
  </si>
  <si>
    <t>0901725</t>
  </si>
  <si>
    <t>Common snook, fillet, raw</t>
  </si>
  <si>
    <t>0901726</t>
  </si>
  <si>
    <t>SWF</t>
  </si>
  <si>
    <t>Spotted weakfish, fillet, raw</t>
  </si>
  <si>
    <t>Cynoscion nebulosus</t>
  </si>
  <si>
    <t>Spotted weakfish</t>
  </si>
  <si>
    <t>0901727</t>
  </si>
  <si>
    <t>SNL</t>
  </si>
  <si>
    <t>Villajaiba</t>
  </si>
  <si>
    <t>Lane snapper, fillet, raw</t>
  </si>
  <si>
    <t>Lutjanus synagris</t>
  </si>
  <si>
    <t>Lane snapper</t>
  </si>
  <si>
    <t>0901728</t>
  </si>
  <si>
    <t>LNM</t>
  </si>
  <si>
    <t>Jorobado</t>
  </si>
  <si>
    <t>Lookdown, fillet, raw</t>
  </si>
  <si>
    <t>Selene vomer</t>
  </si>
  <si>
    <t>Lookdown</t>
  </si>
  <si>
    <t>0901729</t>
  </si>
  <si>
    <t>Rainbow trout, farmed (conventionally, semi-intensive), skinless fillet, raw</t>
  </si>
  <si>
    <t>mean length and weight of fish: 33cm, 175g</t>
  </si>
  <si>
    <t>Iodine: &lt;20mcg/100g; FAT- (extraction according to Smedes, 1999: Determination of total lipid using non-chlorinated solvents. Analyst 124:1711-1718); FA converted using XFA</t>
  </si>
  <si>
    <t>fi154</t>
  </si>
  <si>
    <t>0901730</t>
  </si>
  <si>
    <t>Rainbow trout, farmed (conventionally, extensive), skinless fillet, raw</t>
  </si>
  <si>
    <t>mean length and weight of fish: 31cm, 307g</t>
  </si>
  <si>
    <t>0901731</t>
  </si>
  <si>
    <t>Rainbow trout, farmed (conventionally, intensive), skinless fillet, raw</t>
  </si>
  <si>
    <t>mean length and weight of fish: 32.7cm, 389g</t>
  </si>
  <si>
    <t>0901732</t>
  </si>
  <si>
    <t>Rainbow trout, farmed (organically), skinless fillet, raw</t>
  </si>
  <si>
    <t>mean length and weight of fish: 33cm, 401g</t>
  </si>
  <si>
    <t>0901733</t>
  </si>
  <si>
    <t>mean length and weight of fish: 32.2cm, 330g</t>
  </si>
  <si>
    <t>0901734</t>
  </si>
  <si>
    <t>Rainbow trout, farmed (conventionally), skinless fillet, hot-smoked</t>
  </si>
  <si>
    <t>0901735</t>
  </si>
  <si>
    <t>Rainbow trout, farmed (organically), skinless fillet, hot-smoked</t>
  </si>
  <si>
    <t>0901736</t>
  </si>
  <si>
    <t>SUR</t>
  </si>
  <si>
    <t>Yellowfin surgeon fish, muscle flesh, raw</t>
  </si>
  <si>
    <t>Acanthurus xanthopterus</t>
  </si>
  <si>
    <t>Acanthuridae</t>
  </si>
  <si>
    <t>CHOL- (cholesterol determination with ferric chloride method, Rudel and Morris 1973)</t>
  </si>
  <si>
    <t>fi155</t>
  </si>
  <si>
    <t>0901737</t>
  </si>
  <si>
    <t>AUJ</t>
  </si>
  <si>
    <t>Black fin sea catfish, muscle flesh, raw</t>
  </si>
  <si>
    <t>Arius jella</t>
  </si>
  <si>
    <t>Blackfin sea catfish</t>
  </si>
  <si>
    <t>Jul</t>
  </si>
  <si>
    <t>mean length and weight of fish: 25cm, 300g</t>
  </si>
  <si>
    <t>0901738</t>
  </si>
  <si>
    <t>mean length and weight of fish: 32cm, 315g</t>
  </si>
  <si>
    <t>0901739</t>
  </si>
  <si>
    <t>DRI</t>
  </si>
  <si>
    <t>Indian drift fish, muscle flesh, raw</t>
  </si>
  <si>
    <t>Ariomma indicus</t>
  </si>
  <si>
    <t>Indian driftfish</t>
  </si>
  <si>
    <t>Ariomma indica</t>
  </si>
  <si>
    <t>0901740</t>
  </si>
  <si>
    <t>SGY</t>
  </si>
  <si>
    <t>Spot tail needle fish, muscle flesh, raw</t>
  </si>
  <si>
    <t>Strongylura strongylura</t>
  </si>
  <si>
    <t>Spottail needlefish</t>
  </si>
  <si>
    <t>mean length and weight of fish: 35cm, 145g</t>
  </si>
  <si>
    <t>0901741</t>
  </si>
  <si>
    <t>UKX</t>
  </si>
  <si>
    <t>Flounder, muscle flesh, raw</t>
  </si>
  <si>
    <t>Pseudorhombus sp</t>
  </si>
  <si>
    <t>Pseudorhombus spp</t>
  </si>
  <si>
    <t>mean length and weight of fish: 15cm, 40g</t>
  </si>
  <si>
    <t>0901742</t>
  </si>
  <si>
    <t>mean length and weight of fish: 14cm, 29.5g</t>
  </si>
  <si>
    <t>0901743</t>
  </si>
  <si>
    <t>Torpedo scad, muscle flesh, raw</t>
  </si>
  <si>
    <t>Megalaspis cordyla</t>
  </si>
  <si>
    <t>mean length and weight of fish: 21cm, 100g</t>
  </si>
  <si>
    <t>0901744</t>
  </si>
  <si>
    <t>Torpedo scad, skin-on fillet, raw</t>
  </si>
  <si>
    <t>0901745</t>
  </si>
  <si>
    <t>POP</t>
  </si>
  <si>
    <t>Pompano, muscle flesh, raw</t>
  </si>
  <si>
    <t>Trachynotus ovatus</t>
  </si>
  <si>
    <t>Pompano</t>
  </si>
  <si>
    <t>Trachinotus ovatus</t>
  </si>
  <si>
    <t>mean length and weight of fish: 19cm, 193g</t>
  </si>
  <si>
    <t>0901746</t>
  </si>
  <si>
    <t>Black tailed trevally, muscle flesh, raw</t>
  </si>
  <si>
    <t>mean length and weight of fish: 14cm, 968g</t>
  </si>
  <si>
    <t>0901747</t>
  </si>
  <si>
    <t>OBJ</t>
  </si>
  <si>
    <t>Needle scaled queen fish, muscle flesh, raw</t>
  </si>
  <si>
    <t>Scomberoides tol</t>
  </si>
  <si>
    <t>Needlescaled queenfish</t>
  </si>
  <si>
    <t>0901748</t>
  </si>
  <si>
    <t>mean length and weight of fish: 20cm, 220g</t>
  </si>
  <si>
    <t>0901749</t>
  </si>
  <si>
    <t>mean length and weight of fish: 20cm, 120g</t>
  </si>
  <si>
    <t>0901750</t>
  </si>
  <si>
    <t>Black pomfret, muscle flesh, raw</t>
  </si>
  <si>
    <t>mean length and weight of fish: 23cm, 250g</t>
  </si>
  <si>
    <t>0901751</t>
  </si>
  <si>
    <t>RUS</t>
  </si>
  <si>
    <t>Indian scad, muscle flesh, raw</t>
  </si>
  <si>
    <t>Decapterus russelli</t>
  </si>
  <si>
    <t>Indian scad</t>
  </si>
  <si>
    <t>mean length and weight of fish: 18cm, 49g</t>
  </si>
  <si>
    <t>0901752</t>
  </si>
  <si>
    <t>mean length and weight of fish: 36cm, 285g</t>
  </si>
  <si>
    <t>0901753</t>
  </si>
  <si>
    <t>mean length and weight of fish: 37cm,424g</t>
  </si>
  <si>
    <t>0901754</t>
  </si>
  <si>
    <t>NGS</t>
  </si>
  <si>
    <t>Malabar trevelly, muscle flesh, raw</t>
  </si>
  <si>
    <t>Carangoides malabaricus</t>
  </si>
  <si>
    <t>Malabar trevally</t>
  </si>
  <si>
    <t>mean length and weight of fish: 16cm75g</t>
  </si>
  <si>
    <t>0901755</t>
  </si>
  <si>
    <t>0901756</t>
  </si>
  <si>
    <t>mean length and weight of fish: 20cm, 99g</t>
  </si>
  <si>
    <t>0901757</t>
  </si>
  <si>
    <t>Banded scad, muscle flesh, raw</t>
  </si>
  <si>
    <t>Caranx para</t>
  </si>
  <si>
    <t>mean length and weight of fish: 15cm, 32g</t>
  </si>
  <si>
    <t>0901758</t>
  </si>
  <si>
    <t>TUP</t>
  </si>
  <si>
    <t>Cleft belly trevally, muscle flesh, raw</t>
  </si>
  <si>
    <t>Atropus atropus female</t>
  </si>
  <si>
    <t>Cleftbelly trevally</t>
  </si>
  <si>
    <t>Atropus atropos</t>
  </si>
  <si>
    <t>mean length and weight of fish: 23cm, 181g</t>
  </si>
  <si>
    <t>0901759</t>
  </si>
  <si>
    <t>Atropus atropus</t>
  </si>
  <si>
    <t>mean length and weight of fish: 18cm,91g</t>
  </si>
  <si>
    <t>0901760</t>
  </si>
  <si>
    <t>MIL</t>
  </si>
  <si>
    <t>Mikfish, muscle flesh, raw</t>
  </si>
  <si>
    <t>Chanos chanos</t>
  </si>
  <si>
    <t>Milkfish</t>
  </si>
  <si>
    <t>Dec</t>
  </si>
  <si>
    <t>mean length and weight of fish: 35cm, 300g</t>
  </si>
  <si>
    <t>0901761</t>
  </si>
  <si>
    <t>DOB</t>
  </si>
  <si>
    <t>Silver bar, muscle flesh, raw</t>
  </si>
  <si>
    <t>Chirocentrus dorab</t>
  </si>
  <si>
    <t>Dorab wolf-herring</t>
  </si>
  <si>
    <t>0901762</t>
  </si>
  <si>
    <t>CNU</t>
  </si>
  <si>
    <t>White fin wolf herring, muscle flesh, raw</t>
  </si>
  <si>
    <t>Chirocentrus nudus</t>
  </si>
  <si>
    <t>Whitefin wolf-herring</t>
  </si>
  <si>
    <t>mean length and weight of fish: 49cm, 94g</t>
  </si>
  <si>
    <t>0901763</t>
  </si>
  <si>
    <t>mean length and weight of fish: 45cm, 364g</t>
  </si>
  <si>
    <t>0901764</t>
  </si>
  <si>
    <t>Tilapia, female, muscle flesh, raw</t>
  </si>
  <si>
    <t>Oreochromis mossambica</t>
  </si>
  <si>
    <t>mean length and weight of fish: 16cm, 65g</t>
  </si>
  <si>
    <t>0901765</t>
  </si>
  <si>
    <t>ERC</t>
  </si>
  <si>
    <t>Orange chromicle, muscle flesh, raw</t>
  </si>
  <si>
    <t>Etroplus maculatus</t>
  </si>
  <si>
    <t>Orange chromide</t>
  </si>
  <si>
    <t>mean length and weight of fish: 7cm, 7.5g</t>
  </si>
  <si>
    <t>0901766</t>
  </si>
  <si>
    <t>PHT</t>
  </si>
  <si>
    <t>Tardoore, muscle flesh, raw</t>
  </si>
  <si>
    <t>Opisthoptertus tardoor</t>
  </si>
  <si>
    <t>Tardoore</t>
  </si>
  <si>
    <t>Opisthopterus tardoore</t>
  </si>
  <si>
    <t>mean length and weight of fish: 15cm, 30g</t>
  </si>
  <si>
    <t>0901767</t>
  </si>
  <si>
    <t>mean length and weight of fish: 16cm, 44g</t>
  </si>
  <si>
    <t>0901768</t>
  </si>
  <si>
    <t>mean length and weight of fish: 24cm, 110g</t>
  </si>
  <si>
    <t>0901769</t>
  </si>
  <si>
    <t>RAS</t>
  </si>
  <si>
    <t>Rainbow sardine, muscle flesh, raw</t>
  </si>
  <si>
    <t>Dussumieria acuta</t>
  </si>
  <si>
    <t>Rainbow sardine</t>
  </si>
  <si>
    <t>mean length and weight of fish: 17cm, 41g</t>
  </si>
  <si>
    <t>0901770</t>
  </si>
  <si>
    <t>SDM</t>
  </si>
  <si>
    <t>Blacktrip sardinella, muscle flesh, raw</t>
  </si>
  <si>
    <t>Sardinella melanura</t>
  </si>
  <si>
    <t>Blacktip sardinella</t>
  </si>
  <si>
    <t>mean length and weight of fish: 16cm, 49g</t>
  </si>
  <si>
    <t>0901771</t>
  </si>
  <si>
    <t>RAL</t>
  </si>
  <si>
    <t>Oil sardine, muscle flesh, raw</t>
  </si>
  <si>
    <t>Dussumieria hasselti</t>
  </si>
  <si>
    <t>Slender rainbow sardine</t>
  </si>
  <si>
    <t>Dussumieria elopsoides</t>
  </si>
  <si>
    <t>mean length and weight of fish: 16cm, 25g</t>
  </si>
  <si>
    <t>0901772</t>
  </si>
  <si>
    <t>YOD</t>
  </si>
  <si>
    <t>Carrot tongue sole, muscle flesh, raw</t>
  </si>
  <si>
    <t>Cynoglossus dubius</t>
  </si>
  <si>
    <t>Carrot tonguesole</t>
  </si>
  <si>
    <t>mean length and weight of fish: 33cm, 213g</t>
  </si>
  <si>
    <t>0901773</t>
  </si>
  <si>
    <t>YOX</t>
  </si>
  <si>
    <t>Cynoglossus sp</t>
  </si>
  <si>
    <t>Tonguesole nei</t>
  </si>
  <si>
    <t>Cynoglossus spp</t>
  </si>
  <si>
    <t>mean length and weight of fish: 19cm, 38g</t>
  </si>
  <si>
    <t>0901774</t>
  </si>
  <si>
    <t>Mrigal, muscle flesh, raw</t>
  </si>
  <si>
    <t>Cirrhinal mrigata</t>
  </si>
  <si>
    <t>0901775</t>
  </si>
  <si>
    <t>Rohu (adult), muscle flesh, raw</t>
  </si>
  <si>
    <t>0901776</t>
  </si>
  <si>
    <t>CEV</t>
  </si>
  <si>
    <t>Ladyfish, muscle flesh, raw</t>
  </si>
  <si>
    <t>Elops machnata</t>
  </si>
  <si>
    <t>Tenpounder</t>
  </si>
  <si>
    <t>mean length and weight of fish: 52cm, 900g</t>
  </si>
  <si>
    <t>0901777</t>
  </si>
  <si>
    <t>EYD</t>
  </si>
  <si>
    <t>Dussumier's thryssa, muscle flesh, raw</t>
  </si>
  <si>
    <t>Tryssa dusumeri</t>
  </si>
  <si>
    <t>Dussumier's thryssa</t>
  </si>
  <si>
    <t>Thryssa dussumieri</t>
  </si>
  <si>
    <t>0901778</t>
  </si>
  <si>
    <t>HUO</t>
  </si>
  <si>
    <t>Spade fish, muscle flesh, raw</t>
  </si>
  <si>
    <t>Ephippus orbis</t>
  </si>
  <si>
    <t>Orbfish</t>
  </si>
  <si>
    <t>mean length and weight of fish: 11cm, 42g</t>
  </si>
  <si>
    <t>0901779</t>
  </si>
  <si>
    <t>GEF</t>
  </si>
  <si>
    <t>Whipfin silver biddy, muscle flesh, raw</t>
  </si>
  <si>
    <t>Gerres filamentoses</t>
  </si>
  <si>
    <t>Whipfin silver-biddy</t>
  </si>
  <si>
    <t>Gerres filamentosus</t>
  </si>
  <si>
    <t>mean length and weight of fish:15cm, 84g</t>
  </si>
  <si>
    <t>0901780</t>
  </si>
  <si>
    <t>mean length and weight of fish: 18cm, 84g</t>
  </si>
  <si>
    <t>0901781</t>
  </si>
  <si>
    <t>BGX</t>
  </si>
  <si>
    <t>Grunter, muscle flesh, raw</t>
  </si>
  <si>
    <t>Pomadasys furcatum</t>
  </si>
  <si>
    <t>Pomadasys spp</t>
  </si>
  <si>
    <t>mean length and weight of fish: 19cm, 100g</t>
  </si>
  <si>
    <t>0901782</t>
  </si>
  <si>
    <t>KAH</t>
  </si>
  <si>
    <t>Javelin grunter, muscle flesh, raw</t>
  </si>
  <si>
    <t>Pomadasys kaakan</t>
  </si>
  <si>
    <t>Javelin grunter</t>
  </si>
  <si>
    <t>0901783</t>
  </si>
  <si>
    <t>Pomadasys sp</t>
  </si>
  <si>
    <t>mean length and weight of fish: 15cm, 63g</t>
  </si>
  <si>
    <t>0901784</t>
  </si>
  <si>
    <t>HAX</t>
  </si>
  <si>
    <t>Needle fish, muscle flesh, raw</t>
  </si>
  <si>
    <t>Hemiramphus lutkei</t>
  </si>
  <si>
    <t>Hemiramphus spp</t>
  </si>
  <si>
    <t>0901785</t>
  </si>
  <si>
    <t>TRF</t>
  </si>
  <si>
    <t>False trevally, muscle flesh, raw</t>
  </si>
  <si>
    <t>Lactarius lactarius</t>
  </si>
  <si>
    <t>False trevally</t>
  </si>
  <si>
    <t>mean length and weight of fish: 14cm, 40g</t>
  </si>
  <si>
    <t>0901786</t>
  </si>
  <si>
    <t>LGE</t>
  </si>
  <si>
    <t>Pugnose ponyfish, muscle flesh, raw</t>
  </si>
  <si>
    <t>Leiognathus equulus</t>
  </si>
  <si>
    <t>Common ponyfish</t>
  </si>
  <si>
    <t>0901787</t>
  </si>
  <si>
    <t>LGP</t>
  </si>
  <si>
    <t>Splendid ponyfish, muscle flesh, raw</t>
  </si>
  <si>
    <t>Leiognathus splendens</t>
  </si>
  <si>
    <t>Splendid ponyfish</t>
  </si>
  <si>
    <t>0901788</t>
  </si>
  <si>
    <t>LCV</t>
  </si>
  <si>
    <t>Orange fin pony fish, muscle flesh, raw</t>
  </si>
  <si>
    <t>Leiognathus bindus</t>
  </si>
  <si>
    <t>Orangefin ponyfish</t>
  </si>
  <si>
    <t>mean length and weight of fish: 8cm, 7g</t>
  </si>
  <si>
    <t>0901789</t>
  </si>
  <si>
    <t>LTS</t>
  </si>
  <si>
    <t>Emperor, muscle flesh, raw</t>
  </si>
  <si>
    <t>Lethrinus cinerius</t>
  </si>
  <si>
    <t>Pink ear emperor</t>
  </si>
  <si>
    <t>Lethrinus lentjan</t>
  </si>
  <si>
    <t>mean length and weight of fish: 244cm, 1200g</t>
  </si>
  <si>
    <t>0901790</t>
  </si>
  <si>
    <t>LJG</t>
  </si>
  <si>
    <t>Humpback red snapper, muscle flesh, raw</t>
  </si>
  <si>
    <t>Lutjanus gibbus</t>
  </si>
  <si>
    <t>Humpback red snapper</t>
  </si>
  <si>
    <t>mean length and weight of fish: 31cm, 850g</t>
  </si>
  <si>
    <t>0901791</t>
  </si>
  <si>
    <t>PFM</t>
  </si>
  <si>
    <t>Blue spotted job fish, muscle flesh, raw</t>
  </si>
  <si>
    <t>Pristipomoides filamentoses</t>
  </si>
  <si>
    <t>Crimson jobfish</t>
  </si>
  <si>
    <t>Pristipomoides filamentosus</t>
  </si>
  <si>
    <t>0901792</t>
  </si>
  <si>
    <t>Oxeye tarpon, muscle flesh, raw</t>
  </si>
  <si>
    <t>Megalops cyprinoides</t>
  </si>
  <si>
    <t>mean length and weight of fish: 18cm, 69g</t>
  </si>
  <si>
    <t>0901793</t>
  </si>
  <si>
    <t>VMC</t>
  </si>
  <si>
    <t>Long arm mullet, muscle flesh, raw</t>
  </si>
  <si>
    <t>Vaiamugil cunnesius</t>
  </si>
  <si>
    <t>Longarm mullet</t>
  </si>
  <si>
    <t>Valamugil cunnesius</t>
  </si>
  <si>
    <t>0901794</t>
  </si>
  <si>
    <t>UPI</t>
  </si>
  <si>
    <t>Striped goatfish, muscle flesh, raw</t>
  </si>
  <si>
    <t>Upenus vittatus</t>
  </si>
  <si>
    <t>Yellowstriped goatfish</t>
  </si>
  <si>
    <t>Upeneus vittatus</t>
  </si>
  <si>
    <t>mean length and weight of fish: 15cm, 50g</t>
  </si>
  <si>
    <t>0901795</t>
  </si>
  <si>
    <t>0901796</t>
  </si>
  <si>
    <t>RYH</t>
  </si>
  <si>
    <t>Eagle ray, muscle flesh, raw</t>
  </si>
  <si>
    <t>Myliobatis nieuhofli</t>
  </si>
  <si>
    <t>Banded eagle ray</t>
  </si>
  <si>
    <t>Aetomylaeus niehofii</t>
  </si>
  <si>
    <t>mean length and weight of fish: 27cm, 1040g</t>
  </si>
  <si>
    <t>0901797</t>
  </si>
  <si>
    <t>THB</t>
  </si>
  <si>
    <t>Pink perch, muscle flesh, raw</t>
  </si>
  <si>
    <t>Nemipterus bleekeri</t>
  </si>
  <si>
    <t>Threadfin breams nei</t>
  </si>
  <si>
    <t>Nemipterus spp</t>
  </si>
  <si>
    <t>mean length and weight of fish: 22cm, 119g</t>
  </si>
  <si>
    <t>0901798</t>
  </si>
  <si>
    <t>mean length and weight of fish: 21cm, 130g</t>
  </si>
  <si>
    <t>0901799</t>
  </si>
  <si>
    <t>THD</t>
  </si>
  <si>
    <t>Rosy monacle bream, muscle flesh, raw</t>
  </si>
  <si>
    <t>Parascolopsis eriomma</t>
  </si>
  <si>
    <t>Nemipteridae</t>
  </si>
  <si>
    <t>mean length and weight of fish: 27cm, 375g</t>
  </si>
  <si>
    <t>0901800</t>
  </si>
  <si>
    <t>Four finger thread fin, muscle flesh, raw</t>
  </si>
  <si>
    <t>Eleutheronema tetradactylus</t>
  </si>
  <si>
    <t>Eleutheronema tetradactylum</t>
  </si>
  <si>
    <t>mean length and weight of fish: 33cm, 500g</t>
  </si>
  <si>
    <t>0901801</t>
  </si>
  <si>
    <t>OAX</t>
  </si>
  <si>
    <t>Blackspot threadfin, muscle flesh, raw</t>
  </si>
  <si>
    <t>Polynemus sextarius</t>
  </si>
  <si>
    <t>Blackspot threadfin</t>
  </si>
  <si>
    <t>Polydactylus sextarius</t>
  </si>
  <si>
    <t>mean length and weight of fish: 15cm, 43g</t>
  </si>
  <si>
    <t>0901802</t>
  </si>
  <si>
    <t>BIG</t>
  </si>
  <si>
    <t>Bull eye, muscle flesh, raw</t>
  </si>
  <si>
    <t>Priacanthus sp</t>
  </si>
  <si>
    <t>Bigeyes nei</t>
  </si>
  <si>
    <t>Priacanthus spp</t>
  </si>
  <si>
    <t>mean length and weight of fish: 18cm, 75g</t>
  </si>
  <si>
    <t>0901803</t>
  </si>
  <si>
    <t>HAI</t>
  </si>
  <si>
    <t>Indian tiny turbot, muscle flesh, raw</t>
  </si>
  <si>
    <t>Psettodes erumei</t>
  </si>
  <si>
    <t>Indian halibut</t>
  </si>
  <si>
    <t>mean length and weight of fish: 33cm, 587g</t>
  </si>
  <si>
    <t>0901804</t>
  </si>
  <si>
    <t>NBA</t>
  </si>
  <si>
    <t>Bloched croaker, muscle flesh, raw</t>
  </si>
  <si>
    <t>Nibea maculata</t>
  </si>
  <si>
    <t>Blotched croaker</t>
  </si>
  <si>
    <t>mean length and weight of fish: 23cm, 150g</t>
  </si>
  <si>
    <t>0901805</t>
  </si>
  <si>
    <t>JOX</t>
  </si>
  <si>
    <t>Karut croaker, muscle flesh, raw</t>
  </si>
  <si>
    <t>Johnius carutta</t>
  </si>
  <si>
    <t>Johnius spp</t>
  </si>
  <si>
    <t>mean length and weight of fish: 18cm, 65g</t>
  </si>
  <si>
    <t>0901806</t>
  </si>
  <si>
    <t>JOU</t>
  </si>
  <si>
    <t>Sin croaker, muscle flesh, raw</t>
  </si>
  <si>
    <t>Johniops sinai</t>
  </si>
  <si>
    <t>Sin croaker</t>
  </si>
  <si>
    <t>Johnius dussumieri</t>
  </si>
  <si>
    <t>mean length and weight of fish: 14cm, 33g</t>
  </si>
  <si>
    <t>0901807</t>
  </si>
  <si>
    <t>mean length and weight of fish: 12cm, 18g</t>
  </si>
  <si>
    <t>0901808</t>
  </si>
  <si>
    <t>Spindle croaker, muscle flesh, raw</t>
  </si>
  <si>
    <t>Johnius elongatus</t>
  </si>
  <si>
    <t>mean length and weight of fish: 16cm, 74g</t>
  </si>
  <si>
    <t>0901809</t>
  </si>
  <si>
    <t>LKR</t>
  </si>
  <si>
    <t>Tiger toothed croaker, muscle flesh, raw</t>
  </si>
  <si>
    <t>Otolithus ruber</t>
  </si>
  <si>
    <t>Tigertooth croaker</t>
  </si>
  <si>
    <t>Otolithes ruber</t>
  </si>
  <si>
    <t>mean length and weight of fish: 34cm, 458g</t>
  </si>
  <si>
    <t>0901810</t>
  </si>
  <si>
    <t>Johniops sina</t>
  </si>
  <si>
    <t>mean length and weight of fish: 17cm, 80g</t>
  </si>
  <si>
    <t>0901811</t>
  </si>
  <si>
    <t>Mackerel, muscle flesh, raw</t>
  </si>
  <si>
    <t>mean length and weight of fish: 12cm, 15g</t>
  </si>
  <si>
    <t>0901812</t>
  </si>
  <si>
    <t>Mackerel, female, muscle flesh, raw</t>
  </si>
  <si>
    <t>mean length and weight of fish: 27cm, 259g</t>
  </si>
  <si>
    <t>0901813</t>
  </si>
  <si>
    <t>Mackerel, male, muscle flesh, raw</t>
  </si>
  <si>
    <t>mean length and weight of fish: 23cm, 127g</t>
  </si>
  <si>
    <t>0901814</t>
  </si>
  <si>
    <t>Mackerel, immature, muscle flesh, raw</t>
  </si>
  <si>
    <t>mean length and weight of fish: 18cm, 70g</t>
  </si>
  <si>
    <t>0901815</t>
  </si>
  <si>
    <t>mean length and weight of fish: 21cm, 115g</t>
  </si>
  <si>
    <t>0901816</t>
  </si>
  <si>
    <t>Kadal varal, muscle flesh, raw</t>
  </si>
  <si>
    <t>Elachata nigra</t>
  </si>
  <si>
    <t>mean length and weight of fish: 46cm, 750g</t>
  </si>
  <si>
    <t>0901817</t>
  </si>
  <si>
    <t>mean length and weight of fish: 21cm, 119g</t>
  </si>
  <si>
    <t>0901818</t>
  </si>
  <si>
    <t>mean length and weight of fish: 44cm, 514g</t>
  </si>
  <si>
    <t>0901819</t>
  </si>
  <si>
    <t>EES</t>
  </si>
  <si>
    <t>Banded grouper, muscle flesh, raw</t>
  </si>
  <si>
    <t>Epinephles latifasciiatus</t>
  </si>
  <si>
    <t>Striped grouper</t>
  </si>
  <si>
    <t>Epinephelus latifasciatus</t>
  </si>
  <si>
    <t>mean length and weight of fish: 27cm, 283g</t>
  </si>
  <si>
    <t>0901820</t>
  </si>
  <si>
    <t>ILS</t>
  </si>
  <si>
    <t>Silver sillago, muscle flesh, raw</t>
  </si>
  <si>
    <t>Sillago sihama</t>
  </si>
  <si>
    <t>Silver sillago</t>
  </si>
  <si>
    <t>mean length and weight of fish: 14cm, 30g</t>
  </si>
  <si>
    <t>0901821</t>
  </si>
  <si>
    <t>KBR</t>
  </si>
  <si>
    <t>King soldier bream, muscle flesh, raw</t>
  </si>
  <si>
    <t>Argyrops spinifer</t>
  </si>
  <si>
    <t>King soldier bream</t>
  </si>
  <si>
    <t>mean length and weight of fish: 20cm, 190g</t>
  </si>
  <si>
    <t>0901822</t>
  </si>
  <si>
    <t>YBS</t>
  </si>
  <si>
    <t>Big eye barracuda, muscle flesh, raw</t>
  </si>
  <si>
    <t>Sphyraena forsteri</t>
  </si>
  <si>
    <t>Bigeye barracuda</t>
  </si>
  <si>
    <t>mean length and weight of fish: 30cm, 125g</t>
  </si>
  <si>
    <t>0901823</t>
  </si>
  <si>
    <t>YRB</t>
  </si>
  <si>
    <t>Obtuse barracuda, muscle flesh, raw</t>
  </si>
  <si>
    <t>Sphyraena obtusata</t>
  </si>
  <si>
    <t>Obtuse barracuda</t>
  </si>
  <si>
    <t>mean length and weight of fish: 23cm, 80g</t>
  </si>
  <si>
    <t>0901824</t>
  </si>
  <si>
    <t>BAC</t>
  </si>
  <si>
    <t>Barracuda, muscle flesh, raw</t>
  </si>
  <si>
    <t>Sphyraena jello</t>
  </si>
  <si>
    <t>Pickhandle barracuda</t>
  </si>
  <si>
    <t>mean length and weight of fish: 45cm, 510g</t>
  </si>
  <si>
    <t>0901825</t>
  </si>
  <si>
    <t>Silver pomfret, muscle flesh, raw</t>
  </si>
  <si>
    <t>Pambus argentius</t>
  </si>
  <si>
    <t>mean length and weight of fish: 16cm, 150g</t>
  </si>
  <si>
    <t>0901826</t>
  </si>
  <si>
    <t>LIB</t>
  </si>
  <si>
    <t>Brush tooth lizard fish, muscle flesh, raw</t>
  </si>
  <si>
    <t>Saurida undosquamosis</t>
  </si>
  <si>
    <t>Brushtooth lizardfish</t>
  </si>
  <si>
    <t>Saurida undosquamis</t>
  </si>
  <si>
    <t>mean length and weight of fish: 24cm, 98g</t>
  </si>
  <si>
    <t>0901827</t>
  </si>
  <si>
    <t>TJB</t>
  </si>
  <si>
    <t>Jarbua therapon, muscle flesh, raw</t>
  </si>
  <si>
    <t>Jarbua therapon</t>
  </si>
  <si>
    <t>Jarbua terapon</t>
  </si>
  <si>
    <t>Terapon jarbua</t>
  </si>
  <si>
    <t>0901828</t>
  </si>
  <si>
    <t>0901829</t>
  </si>
  <si>
    <t>TOF</t>
  </si>
  <si>
    <t>Electric ray, muscle flesh, raw</t>
  </si>
  <si>
    <t>Narcine sp</t>
  </si>
  <si>
    <t>Electric rays, etc.nei</t>
  </si>
  <si>
    <t>Torpediniformes/Narcinidae</t>
  </si>
  <si>
    <t>mean length and weight of fish: 23cm</t>
  </si>
  <si>
    <t>0901830</t>
  </si>
  <si>
    <t>LDP</t>
  </si>
  <si>
    <t>Rosy grub fish, muscle flesh, raw</t>
  </si>
  <si>
    <t>Percis pulchella</t>
  </si>
  <si>
    <t>Orange perch</t>
  </si>
  <si>
    <t>Lepidoperca pulchella</t>
  </si>
  <si>
    <t>mean length and weight of fish: 14cm, 35g</t>
  </si>
  <si>
    <t>0901831</t>
  </si>
  <si>
    <t>SVH</t>
  </si>
  <si>
    <t>Savalai hair tail, muscle flesh, raw</t>
  </si>
  <si>
    <t>Lepturacanthus savala</t>
  </si>
  <si>
    <t>Savalai hairtail</t>
  </si>
  <si>
    <t>mean length and weight of fish:47cm, 87g</t>
  </si>
  <si>
    <t>0901832</t>
  </si>
  <si>
    <t>URA</t>
  </si>
  <si>
    <t>Star gazers, muscle flesh, raw</t>
  </si>
  <si>
    <t>Chanoscopes sp</t>
  </si>
  <si>
    <t>Stargazers</t>
  </si>
  <si>
    <t>Uranoscopus spp</t>
  </si>
  <si>
    <t>mean length and weight of fish: 28cm, 399g</t>
  </si>
  <si>
    <t>0901833</t>
  </si>
  <si>
    <t>PNI</t>
  </si>
  <si>
    <t>Indian white shrimp, edible flesh, raw</t>
  </si>
  <si>
    <t>Penaeus indicus</t>
  </si>
  <si>
    <t>Indian white prawn</t>
  </si>
  <si>
    <t>mean length and weight of prawn:13cm, 14g</t>
  </si>
  <si>
    <t>0901834</t>
  </si>
  <si>
    <t>mean length and weight of prawn: 17cm, 22g</t>
  </si>
  <si>
    <t>0901835</t>
  </si>
  <si>
    <t>MPN</t>
  </si>
  <si>
    <t>Speckled shrimp, edible flesh, raw</t>
  </si>
  <si>
    <t>Metapenaeus monoceros</t>
  </si>
  <si>
    <t>Speckled shrimp</t>
  </si>
  <si>
    <t>mean length and weight of prawn: 7cm, 2.75g</t>
  </si>
  <si>
    <t>0901836</t>
  </si>
  <si>
    <t>mean length and weight of prawn: 9cm, 6.25g</t>
  </si>
  <si>
    <t>0901837</t>
  </si>
  <si>
    <t>GIT</t>
  </si>
  <si>
    <t>Giant tiger prawn, edible flesh, raw</t>
  </si>
  <si>
    <t>Penaeus monodon</t>
  </si>
  <si>
    <t>Giant tiger prawn</t>
  </si>
  <si>
    <t>mean length and weight of prawn: 19cm, 45g</t>
  </si>
  <si>
    <t>0901838</t>
  </si>
  <si>
    <t>MPD</t>
  </si>
  <si>
    <t>Kadal shrimp, edible flesh, raw</t>
  </si>
  <si>
    <t>Metapenaeus dobsoni</t>
  </si>
  <si>
    <t>Kadal shrimp</t>
  </si>
  <si>
    <t>mean length and weight of prawn: 9cm, 3.3g</t>
  </si>
  <si>
    <t>0901839</t>
  </si>
  <si>
    <t>NMY</t>
  </si>
  <si>
    <t>Fiddler shrimp, edible flesh, raw</t>
  </si>
  <si>
    <t>Metapenaeopsis stridulens</t>
  </si>
  <si>
    <t>Fiddler shrimp</t>
  </si>
  <si>
    <t>Metapenaeopsis stridulans</t>
  </si>
  <si>
    <t>mean length and weight of prawn: 8cm, 2.3g</t>
  </si>
  <si>
    <t>0901840</t>
  </si>
  <si>
    <t>MUD</t>
  </si>
  <si>
    <t>Mud crab, edible flesh, raw</t>
  </si>
  <si>
    <t>Scylla seffata</t>
  </si>
  <si>
    <t>Indo-Pacific swamp crab</t>
  </si>
  <si>
    <t>Scylla serrata</t>
  </si>
  <si>
    <t>mean length and weight of crab: 10cm, 180g</t>
  </si>
  <si>
    <t>0901841</t>
  </si>
  <si>
    <t>Mud crab, claw meat, raw</t>
  </si>
  <si>
    <t>0901842</t>
  </si>
  <si>
    <t>UNG</t>
  </si>
  <si>
    <t>Red spot crab, edible flesh, raw</t>
  </si>
  <si>
    <t>Portunus sanquinolentus</t>
  </si>
  <si>
    <t>Threespot swimming crab</t>
  </si>
  <si>
    <t>Portunus sanguinolentus</t>
  </si>
  <si>
    <t>mean length and weight of crab: 13cm, 110g</t>
  </si>
  <si>
    <t>0901843</t>
  </si>
  <si>
    <t>YBX</t>
  </si>
  <si>
    <t>Coral crab, edible flesh, raw</t>
  </si>
  <si>
    <t>Charibdis cruciata</t>
  </si>
  <si>
    <t>Charybdis crabs nei</t>
  </si>
  <si>
    <t>Charybdis spp</t>
  </si>
  <si>
    <t>mean length and weight of crab: 10cm, 156g</t>
  </si>
  <si>
    <t>0901844</t>
  </si>
  <si>
    <t>mean length and weight of crab: 11cm, 190g</t>
  </si>
  <si>
    <t>0901845</t>
  </si>
  <si>
    <t>SCD</t>
  </si>
  <si>
    <t>Sand crab, edible flesh, raw</t>
  </si>
  <si>
    <t>Portunus pelagicus</t>
  </si>
  <si>
    <t>Blue swimming crab</t>
  </si>
  <si>
    <t>mean length and weight of crab: 14cm, 11g</t>
  </si>
  <si>
    <t>0901846</t>
  </si>
  <si>
    <t>EJA</t>
  </si>
  <si>
    <t>Cuttle fish, edible flesh, raw</t>
  </si>
  <si>
    <t>Sepia aculeate</t>
  </si>
  <si>
    <t>Needle cuttlefish</t>
  </si>
  <si>
    <t>Sepia aculeata</t>
  </si>
  <si>
    <t>0901847</t>
  </si>
  <si>
    <t>mean length and weight of cuttle fish: 10cm, 67g</t>
  </si>
  <si>
    <t>0901848</t>
  </si>
  <si>
    <t>OJD</t>
  </si>
  <si>
    <t>Squid, edible flesh, raw</t>
  </si>
  <si>
    <t>Loligo duvauceli</t>
  </si>
  <si>
    <t>Indian squid</t>
  </si>
  <si>
    <t>mean length and weight of squid: 15cm, 52g</t>
  </si>
  <si>
    <t>0901849</t>
  </si>
  <si>
    <t>0901850</t>
  </si>
  <si>
    <t>USA, SE Alaska</t>
  </si>
  <si>
    <t>ABX</t>
  </si>
  <si>
    <t>Abalone, edible flesh, raw</t>
  </si>
  <si>
    <t>Haliotis</t>
  </si>
  <si>
    <t>Abalones nei</t>
  </si>
  <si>
    <t>Haliotis spp</t>
  </si>
  <si>
    <t>fi195</t>
  </si>
  <si>
    <t>0901851</t>
  </si>
  <si>
    <t>SXI</t>
  </si>
  <si>
    <t>Butter clam, edible fleh, raw</t>
  </si>
  <si>
    <t>Saxidomus nuttalli</t>
  </si>
  <si>
    <t>Common butter clam</t>
  </si>
  <si>
    <t>0901852</t>
  </si>
  <si>
    <t>KCL</t>
  </si>
  <si>
    <t>Cockle clam, edible flesh, raw</t>
  </si>
  <si>
    <t>Cardium corbis</t>
  </si>
  <si>
    <t>Basket cockle</t>
  </si>
  <si>
    <t>Clinocardium nuttallii</t>
  </si>
  <si>
    <t>0901853</t>
  </si>
  <si>
    <t>PTS</t>
  </si>
  <si>
    <t>Little neck clam, edible flesh, raw</t>
  </si>
  <si>
    <t>Protothaca staminea</t>
  </si>
  <si>
    <t>Pacific littleneck clam</t>
  </si>
  <si>
    <t>0901854</t>
  </si>
  <si>
    <t>USA, Alaksa/Washington/Oregon</t>
  </si>
  <si>
    <t>PCO</t>
  </si>
  <si>
    <t>Pacific cod, skinless muscle flesh, raw</t>
  </si>
  <si>
    <t>Gadus macrocephalus</t>
  </si>
  <si>
    <t>Pacific cod</t>
  </si>
  <si>
    <t>0901855</t>
  </si>
  <si>
    <t>USA, Washington/Oregon</t>
  </si>
  <si>
    <t>CLI</t>
  </si>
  <si>
    <t>Lingcod, skinless muscle flesh, raw</t>
  </si>
  <si>
    <t>Ophiodon elongatus</t>
  </si>
  <si>
    <t>Lingcod</t>
  </si>
  <si>
    <t>0901856</t>
  </si>
  <si>
    <t>USA, Washington/Oregon/N California</t>
  </si>
  <si>
    <t>DUN</t>
  </si>
  <si>
    <t>Dungeness crab, edible flesh (body), raw</t>
  </si>
  <si>
    <t>Cancer magister</t>
  </si>
  <si>
    <t>Dungeness crab</t>
  </si>
  <si>
    <t>0901857</t>
  </si>
  <si>
    <t>Dungeness crab, edible flesh (leg), raw</t>
  </si>
  <si>
    <t>0901858</t>
  </si>
  <si>
    <t>USA, Kodiak Islands</t>
  </si>
  <si>
    <t>KCD</t>
  </si>
  <si>
    <t>King crab, edible flesh (body), raw</t>
  </si>
  <si>
    <t>Paralithodes camschatica</t>
  </si>
  <si>
    <t>Red king crab</t>
  </si>
  <si>
    <t>Paralithodes camtschaticus</t>
  </si>
  <si>
    <t>0901859</t>
  </si>
  <si>
    <t>King crab, edible flesh (leg), raw</t>
  </si>
  <si>
    <t>0901860</t>
  </si>
  <si>
    <t>King crab, edible flesh (composite), raw</t>
  </si>
  <si>
    <t>0901861</t>
  </si>
  <si>
    <t>CUX</t>
  </si>
  <si>
    <t>Red sea cucumber, edible flesh, raw</t>
  </si>
  <si>
    <t>Stichopus californicus</t>
  </si>
  <si>
    <t>Sea cucumbers nei</t>
  </si>
  <si>
    <t>Holothurioidea</t>
  </si>
  <si>
    <t>0901862</t>
  </si>
  <si>
    <t>Canada, Straits of Juan de Fuca</t>
  </si>
  <si>
    <t>DGS</t>
  </si>
  <si>
    <t>Spiny dogfish, skinless muscle flesh, raw</t>
  </si>
  <si>
    <t>Squalus acanthias</t>
  </si>
  <si>
    <t>Picked dogfish</t>
  </si>
  <si>
    <t>0901863</t>
  </si>
  <si>
    <t>USA, Lower Puget Sound, Washington</t>
  </si>
  <si>
    <t>Spiny dogfish, whole, raw</t>
  </si>
  <si>
    <t>0901864</t>
  </si>
  <si>
    <t>USA, Colorado River</t>
  </si>
  <si>
    <t>EUL</t>
  </si>
  <si>
    <t>Eulachon, skinless muscle flesh, raw</t>
  </si>
  <si>
    <t>Thaleichthys pacificus</t>
  </si>
  <si>
    <t>Eulachon</t>
  </si>
  <si>
    <t>0901865</t>
  </si>
  <si>
    <t>USA, SE Alaska/Washington/Oregon</t>
  </si>
  <si>
    <t>ARF</t>
  </si>
  <si>
    <t>Arrowtooth flounder, skinless muscle flesh, raw</t>
  </si>
  <si>
    <t>Atheresthes stomias</t>
  </si>
  <si>
    <t>Arrow-tooth flounder</t>
  </si>
  <si>
    <t>0901866</t>
  </si>
  <si>
    <t>USA, SE Alaska/Washington/Oregon/Puget Sound</t>
  </si>
  <si>
    <t>PWQ</t>
  </si>
  <si>
    <t>Starry flounder, skinless muscle flesh, raw</t>
  </si>
  <si>
    <t>Platichthys stellatus</t>
  </si>
  <si>
    <t>Starry flounder</t>
  </si>
  <si>
    <t>0901867</t>
  </si>
  <si>
    <t>CLX</t>
  </si>
  <si>
    <t>Geoduck, syphon, raw</t>
  </si>
  <si>
    <t>Panope generosa</t>
  </si>
  <si>
    <t>Clams, etc. nei</t>
  </si>
  <si>
    <t>Bivalvia/Hiatellidae</t>
  </si>
  <si>
    <t>0901868</t>
  </si>
  <si>
    <t>Geoduck, edible muscle flesh (body), raw</t>
  </si>
  <si>
    <t>0901869</t>
  </si>
  <si>
    <t>USA, Oregon/Washington/Alaska</t>
  </si>
  <si>
    <t>HAP</t>
  </si>
  <si>
    <t>Pacific halibut, skinless muscle flesh, raw</t>
  </si>
  <si>
    <t>Hippoglossus stenolepis</t>
  </si>
  <si>
    <t>Pacific halibut</t>
  </si>
  <si>
    <t>0901870</t>
  </si>
  <si>
    <t>USA, British Colombia/Puget Sound</t>
  </si>
  <si>
    <t>HEP</t>
  </si>
  <si>
    <t>Pacific herring, skinless muscle flesh, raw</t>
  </si>
  <si>
    <t>Clupea harengus pallasi</t>
  </si>
  <si>
    <t>Clupea pallasii</t>
  </si>
  <si>
    <t>0901871</t>
  </si>
  <si>
    <t>USA, Kodiak/SE Alaska/British Colombia</t>
  </si>
  <si>
    <t>Pacific herring, whole, raw</t>
  </si>
  <si>
    <t>0901872</t>
  </si>
  <si>
    <t>OCT</t>
  </si>
  <si>
    <t>Octopus, edible flesh, raw</t>
  </si>
  <si>
    <t>Paroctopus hongkongensis</t>
  </si>
  <si>
    <t>Octopuses, etc. nei</t>
  </si>
  <si>
    <t>Octopodidae</t>
  </si>
  <si>
    <t>0901873</t>
  </si>
  <si>
    <t>USA, Alaska</t>
  </si>
  <si>
    <t>OYG</t>
  </si>
  <si>
    <t>Japanese oyster, edible flesh, raw</t>
  </si>
  <si>
    <t>Crassostrea gigas</t>
  </si>
  <si>
    <t>Pacific cupped oyster</t>
  </si>
  <si>
    <t>0901874</t>
  </si>
  <si>
    <t>OFO</t>
  </si>
  <si>
    <t>Native oyster, edible flesh, raw</t>
  </si>
  <si>
    <t>Ostrea lurida</t>
  </si>
  <si>
    <t>Yaquina oyster</t>
  </si>
  <si>
    <t>0901875</t>
  </si>
  <si>
    <t>USA, Bering Sea/NE Pacific Ocean of Alaska</t>
  </si>
  <si>
    <t>ALK</t>
  </si>
  <si>
    <t>Walleye pollock, skinless fillet, raw</t>
  </si>
  <si>
    <t>Theragra chalcogramma</t>
  </si>
  <si>
    <t>Alaska pollock(=Walleye poll.)</t>
  </si>
  <si>
    <t>0901876</t>
  </si>
  <si>
    <t>RAT</t>
  </si>
  <si>
    <t>Ratfish, skinless fillet, raw</t>
  </si>
  <si>
    <t>Hydrolagus colliei</t>
  </si>
  <si>
    <t>Spotted ratfish</t>
  </si>
  <si>
    <t>0901877</t>
  </si>
  <si>
    <t>RMG</t>
  </si>
  <si>
    <t>Black rockfish, skinless fillet, raw</t>
  </si>
  <si>
    <t>Sebastes melanops</t>
  </si>
  <si>
    <t>Black rockfish</t>
  </si>
  <si>
    <t>0901878</t>
  </si>
  <si>
    <t>RFC</t>
  </si>
  <si>
    <t>Darkblotched rockfish, skinless fillet, raw</t>
  </si>
  <si>
    <t>Sebastes crameri</t>
  </si>
  <si>
    <t>Darkblotched rockfish</t>
  </si>
  <si>
    <t>0901879</t>
  </si>
  <si>
    <t>SFT</t>
  </si>
  <si>
    <t>Rougheye rockfish, skinless fillet, raw</t>
  </si>
  <si>
    <t>Sebastes aleutianus</t>
  </si>
  <si>
    <t>Rougheye rockfish</t>
  </si>
  <si>
    <t>0901880</t>
  </si>
  <si>
    <t>USA, Washington</t>
  </si>
  <si>
    <t>SBC</t>
  </si>
  <si>
    <t>Bocaccio rockfish, skinless fillet, raw</t>
  </si>
  <si>
    <t>Sebastes paucispinis</t>
  </si>
  <si>
    <t>Bocaccio rockfish</t>
  </si>
  <si>
    <t>0901881</t>
  </si>
  <si>
    <t>USA, N California</t>
  </si>
  <si>
    <t>SGO</t>
  </si>
  <si>
    <t>Chilipepper rockfish, skinless fillet, raw</t>
  </si>
  <si>
    <t>Sebastes goodei</t>
  </si>
  <si>
    <t>Chilipepper rockfish</t>
  </si>
  <si>
    <t>0901882</t>
  </si>
  <si>
    <t>RED</t>
  </si>
  <si>
    <t>Flag rockfish, skinless fillet, raw</t>
  </si>
  <si>
    <t>Sebastes rubrivincuts</t>
  </si>
  <si>
    <t>Atlantic redfishes nei</t>
  </si>
  <si>
    <t>Sebastes spp</t>
  </si>
  <si>
    <t>0901883</t>
  </si>
  <si>
    <t>SFE</t>
  </si>
  <si>
    <t>Greenstriped rockfish, skinless fillet, raw</t>
  </si>
  <si>
    <t>Sebastes elongatus</t>
  </si>
  <si>
    <t>Greenstriped rockfish</t>
  </si>
  <si>
    <t>0901884</t>
  </si>
  <si>
    <t>Shortspine thornyhead rockfish, skinless fillet, raw</t>
  </si>
  <si>
    <t>Sebastes alascanus</t>
  </si>
  <si>
    <t>0901885</t>
  </si>
  <si>
    <t>SPG</t>
  </si>
  <si>
    <t>Canary rockfish, skinless fillet, raw</t>
  </si>
  <si>
    <t>Sebastes pinninger</t>
  </si>
  <si>
    <t>Canary rockfish</t>
  </si>
  <si>
    <t>Sebastes pinniger</t>
  </si>
  <si>
    <t>0901886</t>
  </si>
  <si>
    <t>USA, Washington/Oregon/N Carolina</t>
  </si>
  <si>
    <t>OPP</t>
  </si>
  <si>
    <t>Pacific ocean perch, skinless fillet, raw</t>
  </si>
  <si>
    <t>Sebastes alutus</t>
  </si>
  <si>
    <t>Pacific ocean perch</t>
  </si>
  <si>
    <t>0901887</t>
  </si>
  <si>
    <t>USA, SE Alaska/Washington</t>
  </si>
  <si>
    <t>RRV</t>
  </si>
  <si>
    <t>Yelloweye rockfish, skinless fillet, raw</t>
  </si>
  <si>
    <t>Sebastes ruberrimus</t>
  </si>
  <si>
    <t>Yelloweye rockfish</t>
  </si>
  <si>
    <t>0901888</t>
  </si>
  <si>
    <t>SEQ</t>
  </si>
  <si>
    <t>Rosy rockfish, skinless fillet, raw</t>
  </si>
  <si>
    <t>Sebastes rosaceus</t>
  </si>
  <si>
    <t>Rosy rockfish</t>
  </si>
  <si>
    <t>0901889</t>
  </si>
  <si>
    <t>YRO</t>
  </si>
  <si>
    <t>Yellowtail rockfish, skinless fillet, raw</t>
  </si>
  <si>
    <t>Sebastes flavidus</t>
  </si>
  <si>
    <t>Yellowtail rockfish</t>
  </si>
  <si>
    <t>0901890</t>
  </si>
  <si>
    <t>WRO</t>
  </si>
  <si>
    <t>Widow rockfish, skinless fillet, raw</t>
  </si>
  <si>
    <t>Sebastes entomelas</t>
  </si>
  <si>
    <t>Widow rockfish</t>
  </si>
  <si>
    <t>0901891</t>
  </si>
  <si>
    <t>SAB</t>
  </si>
  <si>
    <t>Sablefish, skinless fillet, raw</t>
  </si>
  <si>
    <t>Anoplopoma fimbria</t>
  </si>
  <si>
    <t>Sablefish</t>
  </si>
  <si>
    <t>0901892</t>
  </si>
  <si>
    <t>USA, Puget Sound</t>
  </si>
  <si>
    <t>CHU</t>
  </si>
  <si>
    <t>Chum salmon, skinless fillet, raw</t>
  </si>
  <si>
    <t>Oncorhynchus keta</t>
  </si>
  <si>
    <t>Chum(=Keta=Dog)salmon</t>
  </si>
  <si>
    <t>0901893</t>
  </si>
  <si>
    <t>Chinook salmon, skinless fillet, raw</t>
  </si>
  <si>
    <t>Chinook(=Spring=King)salmon</t>
  </si>
  <si>
    <t>0901894</t>
  </si>
  <si>
    <t>PIN</t>
  </si>
  <si>
    <t>Pink salmon, skinless fillet, raw</t>
  </si>
  <si>
    <t>Oncorhynchus gorbuscha</t>
  </si>
  <si>
    <t>Pink(=Humpback)salmon</t>
  </si>
  <si>
    <t>0901895</t>
  </si>
  <si>
    <t>USA, Washington/Oregon/Puget Sound</t>
  </si>
  <si>
    <t>Coho salmon, skinless fillet, raw</t>
  </si>
  <si>
    <t>0901896</t>
  </si>
  <si>
    <t>USA, British colombia/Washington/Colorado River/Oregon</t>
  </si>
  <si>
    <t>SOC</t>
  </si>
  <si>
    <t>Sockeye salmon, skinless fillet, raw</t>
  </si>
  <si>
    <t>Oncorhynchus nerka</t>
  </si>
  <si>
    <t>Sockeye(=Red)salmon</t>
  </si>
  <si>
    <t>0901897</t>
  </si>
  <si>
    <t>SAH</t>
  </si>
  <si>
    <t>American shad, skinless fillet, raw</t>
  </si>
  <si>
    <t>Alosa sapidissima</t>
  </si>
  <si>
    <t>American shad</t>
  </si>
  <si>
    <t>0901898</t>
  </si>
  <si>
    <t>PRA</t>
  </si>
  <si>
    <t>Pink shrimp, edible flesh, raw</t>
  </si>
  <si>
    <t>Pandalus borealis</t>
  </si>
  <si>
    <t>Northern prawn</t>
  </si>
  <si>
    <t>0901899</t>
  </si>
  <si>
    <t>Skate, edible flesh, raw</t>
  </si>
  <si>
    <t>Raja sp.</t>
  </si>
  <si>
    <t>0901900</t>
  </si>
  <si>
    <t>MIP</t>
  </si>
  <si>
    <t>Dover sole, skinless fillet, raw</t>
  </si>
  <si>
    <t>Microstomus pacificus</t>
  </si>
  <si>
    <t>Dover sole</t>
  </si>
  <si>
    <t>0901901</t>
  </si>
  <si>
    <t>USA, Bering Sea/British Colombia/Colorado/Washington/Oregon/Puget Sound</t>
  </si>
  <si>
    <t>RFE</t>
  </si>
  <si>
    <t>English sole, skinless fillet, raw</t>
  </si>
  <si>
    <t>Parophrys vetulus</t>
  </si>
  <si>
    <t>English sole</t>
  </si>
  <si>
    <t>Pleuronectes vetulus</t>
  </si>
  <si>
    <t>0901902</t>
  </si>
  <si>
    <t>FTS</t>
  </si>
  <si>
    <t>Flathead sole, skinless fillet, raw</t>
  </si>
  <si>
    <t>Hippoglossoides elassodon</t>
  </si>
  <si>
    <t>Flathead sole</t>
  </si>
  <si>
    <t>0901903</t>
  </si>
  <si>
    <t>USA, Oregoon</t>
  </si>
  <si>
    <t>EJO</t>
  </si>
  <si>
    <t>Petrale sole, skinless fillet, raw</t>
  </si>
  <si>
    <t>Eopsetta jordani</t>
  </si>
  <si>
    <t>Petrale sole</t>
  </si>
  <si>
    <t>0901904</t>
  </si>
  <si>
    <t>GLZ</t>
  </si>
  <si>
    <t>Rex sole, skinless fillet, raw</t>
  </si>
  <si>
    <t>Glyptocephalus zaccirus</t>
  </si>
  <si>
    <t>Rex sole</t>
  </si>
  <si>
    <t>Glyptocephalus zachirus</t>
  </si>
  <si>
    <t>0901905</t>
  </si>
  <si>
    <t>USA, Bering Sea/Puget Sound</t>
  </si>
  <si>
    <t>ROS</t>
  </si>
  <si>
    <t>Rock sole, skinless fillet, raw</t>
  </si>
  <si>
    <t>Lepidopsetta bilineata</t>
  </si>
  <si>
    <t>Rock sole</t>
  </si>
  <si>
    <t>0901906</t>
  </si>
  <si>
    <t>YSE</t>
  </si>
  <si>
    <t>Sand sole, , skinless fillet, raw</t>
  </si>
  <si>
    <t>Psettichthys melanostictus</t>
  </si>
  <si>
    <t>Pacific sand sole</t>
  </si>
  <si>
    <t>0901907</t>
  </si>
  <si>
    <t>USA, Bering Sea</t>
  </si>
  <si>
    <t>YES</t>
  </si>
  <si>
    <t>Yellowfin sole, skinless fillet, raw</t>
  </si>
  <si>
    <t>Limanda aspera</t>
  </si>
  <si>
    <t>Yellowfin sole</t>
  </si>
  <si>
    <t>0901908</t>
  </si>
  <si>
    <t>STF</t>
  </si>
  <si>
    <t>Mottled starfish, edible flesh, raw</t>
  </si>
  <si>
    <t>Evasterias troschelii</t>
  </si>
  <si>
    <t>Starfishes nei</t>
  </si>
  <si>
    <t>Asteroidea</t>
  </si>
  <si>
    <t>0901909</t>
  </si>
  <si>
    <t>Purple starfish, edible flesh, raw</t>
  </si>
  <si>
    <t>Pisaster ochraceus</t>
  </si>
  <si>
    <t>0901910</t>
  </si>
  <si>
    <t>Sunflower starfish, edible flesh, raw</t>
  </si>
  <si>
    <t>Pycnopodia helianthoides</t>
  </si>
  <si>
    <t>0901911</t>
  </si>
  <si>
    <t>USA, Prince of Wales Islands</t>
  </si>
  <si>
    <t>ONC</t>
  </si>
  <si>
    <t>Cutthroat trout, skinless fillet, raw</t>
  </si>
  <si>
    <t>Oncorhynchus clarki</t>
  </si>
  <si>
    <t>Cutthroat trout</t>
  </si>
  <si>
    <t>0901912</t>
  </si>
  <si>
    <t>USA, Bristol Bay, Prince of Wales Islands</t>
  </si>
  <si>
    <t>VAR</t>
  </si>
  <si>
    <t>Dolly varden trout, skinless fillet,r aw</t>
  </si>
  <si>
    <t>Salvelinus malma</t>
  </si>
  <si>
    <t>Dolly varden</t>
  </si>
  <si>
    <t>0901913</t>
  </si>
  <si>
    <t>Steelhead trout, skinless fillet, raw</t>
  </si>
  <si>
    <t>0901914</t>
  </si>
  <si>
    <t>Albacore tuna, light meat, raw</t>
  </si>
  <si>
    <t>0901915</t>
  </si>
  <si>
    <t>Albacore tuna, dark meat, raw</t>
  </si>
  <si>
    <t>0901916</t>
  </si>
  <si>
    <t>Brazil, Ceará, Fortaleza</t>
  </si>
  <si>
    <t>SNC</t>
  </si>
  <si>
    <t>Pargo marinho</t>
  </si>
  <si>
    <t>Red sea bream, skinless fillet, frozen</t>
  </si>
  <si>
    <t>Lutjanus purpureus</t>
  </si>
  <si>
    <t>Southern red snapper</t>
  </si>
  <si>
    <t>Jan-Dec 2002</t>
  </si>
  <si>
    <t>CHOL- (colorimetric method)</t>
  </si>
  <si>
    <t>fi157</t>
  </si>
  <si>
    <t>0901917</t>
  </si>
  <si>
    <t>Tilápia do Nilo</t>
  </si>
  <si>
    <t>Tilapia, skinless fillet, raw</t>
  </si>
  <si>
    <t>0901918</t>
  </si>
  <si>
    <t>PRL</t>
  </si>
  <si>
    <t>Curimatã</t>
  </si>
  <si>
    <t>Curimatã, skinless fillet, raw</t>
  </si>
  <si>
    <t>Prochilodus cearensis</t>
  </si>
  <si>
    <t>Prochilods nei</t>
  </si>
  <si>
    <t>Prochilodus spp</t>
  </si>
  <si>
    <t>0901919</t>
  </si>
  <si>
    <t>TPU</t>
  </si>
  <si>
    <t>Sardinha</t>
  </si>
  <si>
    <t>Sardine, skinless fillet, raw</t>
  </si>
  <si>
    <t>Triportheus angulatus</t>
  </si>
  <si>
    <t>0901920</t>
  </si>
  <si>
    <t>USA/Canada</t>
  </si>
  <si>
    <t>LBA</t>
  </si>
  <si>
    <t>American lobster, muscle tissue (claw, leg, abdomen), raw</t>
  </si>
  <si>
    <t>Homarus americanus</t>
  </si>
  <si>
    <t>American lobster</t>
  </si>
  <si>
    <t>mean weight: 580g; edible tissue defined as muscle+hepatopancreas+gonads+roe</t>
  </si>
  <si>
    <t>fi159</t>
  </si>
  <si>
    <t>0901921</t>
  </si>
  <si>
    <t>American lobster, hepatopancreas, raw</t>
  </si>
  <si>
    <t>0901922</t>
  </si>
  <si>
    <t>American lobster, gonads, raw</t>
  </si>
  <si>
    <t>0901923</t>
  </si>
  <si>
    <t>European lobster, muscle tissue (claw, leg, abdomen), raw</t>
  </si>
  <si>
    <t>mean weight: 587g; edible tissue defined as muscle+hepatopancreas+gonads+roe</t>
  </si>
  <si>
    <t>0901924</t>
  </si>
  <si>
    <t>European lobster, hepatopancreas, raw</t>
  </si>
  <si>
    <t>0901925</t>
  </si>
  <si>
    <t>European lobster, gonads, raw</t>
  </si>
  <si>
    <t>0901926</t>
  </si>
  <si>
    <t>European lobster, roe, raw</t>
  </si>
  <si>
    <t>0901927</t>
  </si>
  <si>
    <t>China, Sozhou City, Yangchenghu Lake</t>
  </si>
  <si>
    <t>ERS</t>
  </si>
  <si>
    <t>Chinese mitten crab, farmed (first grade), male, meat (claws, legs, abdomen), steamed</t>
  </si>
  <si>
    <t>Eriocheir sinensis</t>
  </si>
  <si>
    <t>Chinese mitten crab</t>
  </si>
  <si>
    <t>Oct 2005</t>
  </si>
  <si>
    <t>weight of crabs: 150-160g</t>
  </si>
  <si>
    <t>fi161</t>
  </si>
  <si>
    <t>0901928</t>
  </si>
  <si>
    <t>Chinese mitten crab, farmed (first grade), male, edible viscera (hepatopancreas, gonads), steamed</t>
  </si>
  <si>
    <t>[61.7]</t>
  </si>
  <si>
    <t>[12.5]</t>
  </si>
  <si>
    <t>[20.2]</t>
  </si>
  <si>
    <t>[1.9]</t>
  </si>
  <si>
    <t>0901929</t>
  </si>
  <si>
    <t>Spain, Catalonia (NE Iberian Peninsular), Ebro Delta</t>
  </si>
  <si>
    <t>MSM</t>
  </si>
  <si>
    <t>Mussel, farmed, edible meat, raw</t>
  </si>
  <si>
    <t>Mytilus galloprovincialis</t>
  </si>
  <si>
    <t>Mediterranean mussel</t>
  </si>
  <si>
    <t>Jul 2002</t>
  </si>
  <si>
    <t>fi169</t>
  </si>
  <si>
    <t>[83.81]</t>
  </si>
  <si>
    <t>[6.5]</t>
  </si>
  <si>
    <t>[3.37]</t>
  </si>
  <si>
    <t>0901930</t>
  </si>
  <si>
    <t>Spain, Valencia Harbour (E Iberian Peninsular)</t>
  </si>
  <si>
    <t>[81.5]</t>
  </si>
  <si>
    <t>[10]</t>
  </si>
  <si>
    <t>[2.1]</t>
  </si>
  <si>
    <t>[3.38]</t>
  </si>
  <si>
    <t>0901931</t>
  </si>
  <si>
    <t>Thailand, Songkhla province</t>
  </si>
  <si>
    <t>Black tiger shrimp, farmed, edible flesh, raw</t>
  </si>
  <si>
    <t>PRO-/FAT- (analyzed according to AOAC 1999); FA converted using XFA</t>
  </si>
  <si>
    <t>fi170</t>
  </si>
  <si>
    <t>[17.1]</t>
  </si>
  <si>
    <t>[1512]</t>
  </si>
  <si>
    <t>[4273]</t>
  </si>
  <si>
    <t>[528]</t>
  </si>
  <si>
    <t>[1182]</t>
  </si>
  <si>
    <t>[667]</t>
  </si>
  <si>
    <t>[82.4]</t>
  </si>
  <si>
    <t>[69.8]</t>
  </si>
  <si>
    <t>[2586]</t>
  </si>
  <si>
    <t>[2974]</t>
  </si>
  <si>
    <t>[654]</t>
  </si>
  <si>
    <t>[1396]</t>
  </si>
  <si>
    <t>[2277]</t>
  </si>
  <si>
    <t>[2889]</t>
  </si>
  <si>
    <t>[1069]</t>
  </si>
  <si>
    <t>[1213]</t>
  </si>
  <si>
    <t>[1956]</t>
  </si>
  <si>
    <t>[1159]</t>
  </si>
  <si>
    <t>[1456]</t>
  </si>
  <si>
    <t>[[1854]</t>
  </si>
  <si>
    <t>0901932</t>
  </si>
  <si>
    <t>Thailand, Suratthani province</t>
  </si>
  <si>
    <t>PNV</t>
  </si>
  <si>
    <t>White shrimp, farmed, edible flesh, raw</t>
  </si>
  <si>
    <t>Penaeus vannamei</t>
  </si>
  <si>
    <t>Whiteleg shrimp</t>
  </si>
  <si>
    <t>[18.8]</t>
  </si>
  <si>
    <t>[1601]</t>
  </si>
  <si>
    <t>[3494]</t>
  </si>
  <si>
    <t>[547]</t>
  </si>
  <si>
    <t>[871]</t>
  </si>
  <si>
    <t>[666]</t>
  </si>
  <si>
    <t>[215]</t>
  </si>
  <si>
    <t>[2411]</t>
  </si>
  <si>
    <t>[3153]</t>
  </si>
  <si>
    <t>[630]</t>
  </si>
  <si>
    <t>[1298]</t>
  </si>
  <si>
    <t>[1967]</t>
  </si>
  <si>
    <t>[3862]</t>
  </si>
  <si>
    <t>[1027]</t>
  </si>
  <si>
    <t>[1129]</t>
  </si>
  <si>
    <t>[1078]</t>
  </si>
  <si>
    <t>[1704]</t>
  </si>
  <si>
    <t>[1504]</t>
  </si>
  <si>
    <t>0901933</t>
  </si>
  <si>
    <t>Greece, Aegean Sea (samples from fish markets of Macedonia, Attica or Peloponnese)</t>
  </si>
  <si>
    <t>ATB</t>
  </si>
  <si>
    <t>Atherina</t>
  </si>
  <si>
    <t>Sand smelt, whole, raw</t>
  </si>
  <si>
    <t>Atherina boyeri</t>
  </si>
  <si>
    <t>Big-scale sand smelt</t>
  </si>
  <si>
    <t>mean length and weigt of fish: 4.8cm, 2.3g</t>
  </si>
  <si>
    <t>FA converted using XFA; FA tr= &lt;0.05% of FACID</t>
  </si>
  <si>
    <t>fi173</t>
  </si>
  <si>
    <t>0901934</t>
  </si>
  <si>
    <t>Sand smelt, whole, fried (virgin olive oil)</t>
  </si>
  <si>
    <t>0901935</t>
  </si>
  <si>
    <t>Gavros</t>
  </si>
  <si>
    <t>Anchovy, boneless fillet, raw</t>
  </si>
  <si>
    <t>mean length and weight of fish: 6.8cm, 4.5g</t>
  </si>
  <si>
    <t>0901936</t>
  </si>
  <si>
    <t>Anchovy, boneless fillet, fried (virgin olive oil)</t>
  </si>
  <si>
    <t>0901937</t>
  </si>
  <si>
    <t>BOG</t>
  </si>
  <si>
    <t>Gopa</t>
  </si>
  <si>
    <t>Bogue, boneless fillet, raw</t>
  </si>
  <si>
    <t>Boops boops</t>
  </si>
  <si>
    <t>Bogue</t>
  </si>
  <si>
    <t>mean length and weight of fish: 16.1cm, 69.4g</t>
  </si>
  <si>
    <t>0901938</t>
  </si>
  <si>
    <t>Bogue, boneless fillet, fried (virgin olive oil)</t>
  </si>
  <si>
    <t>0901939</t>
  </si>
  <si>
    <t>MUT</t>
  </si>
  <si>
    <t>Koutsomoura</t>
  </si>
  <si>
    <t>Striped mullet, bonless meat (head incl.), raw</t>
  </si>
  <si>
    <t>Mullus barbatus</t>
  </si>
  <si>
    <t>Red mullet</t>
  </si>
  <si>
    <t>mean length and weight of fish: 13.1cm, 37.4g</t>
  </si>
  <si>
    <t>0901940</t>
  </si>
  <si>
    <t>Striped mullet, bonless meat (head incl.), fried (virgin olive oil)</t>
  </si>
  <si>
    <t>0901941</t>
  </si>
  <si>
    <t>SPC</t>
  </si>
  <si>
    <t>Marida</t>
  </si>
  <si>
    <t>Picarel, gutted, whole, raw</t>
  </si>
  <si>
    <t>Spicara smaris</t>
  </si>
  <si>
    <t>Picarel</t>
  </si>
  <si>
    <t>mean length and weight of fish: 9.8cm, 11.6g</t>
  </si>
  <si>
    <t>0901942</t>
  </si>
  <si>
    <t>Savridi</t>
  </si>
  <si>
    <t>Scad, boneless fillet, raw</t>
  </si>
  <si>
    <t>mean length and weight of fish: 21.3cm, 105.8g</t>
  </si>
  <si>
    <t>0901943</t>
  </si>
  <si>
    <t>Ireland, Cork Habour</t>
  </si>
  <si>
    <t>Pacific oyster, farmed, edible meat, raw</t>
  </si>
  <si>
    <t>proximates expressed per DM - conversion to FW; FA converted using XFA</t>
  </si>
  <si>
    <t>fi174</t>
  </si>
  <si>
    <t>0901944</t>
  </si>
  <si>
    <t>Apr</t>
  </si>
  <si>
    <t>0901945</t>
  </si>
  <si>
    <t>0901946</t>
  </si>
  <si>
    <t>0901947</t>
  </si>
  <si>
    <t>0901948</t>
  </si>
  <si>
    <t>0901949</t>
  </si>
  <si>
    <t>[73.5]</t>
  </si>
  <si>
    <t>[12.508]</t>
  </si>
  <si>
    <t>[2.067]</t>
  </si>
  <si>
    <t>0901950</t>
  </si>
  <si>
    <t>0901951</t>
  </si>
  <si>
    <t>[76.8]</t>
  </si>
  <si>
    <t>[10.788]</t>
  </si>
  <si>
    <t>[1.9488]</t>
  </si>
  <si>
    <t>0901952</t>
  </si>
  <si>
    <t>[76.2]</t>
  </si>
  <si>
    <t>[11.7572]</t>
  </si>
  <si>
    <t>[2.0706]</t>
  </si>
  <si>
    <t>0901953</t>
  </si>
  <si>
    <t>0901954</t>
  </si>
  <si>
    <t>0901955</t>
  </si>
  <si>
    <t>0901956</t>
  </si>
  <si>
    <t>USA, WA, Gig Harbour</t>
  </si>
  <si>
    <t>Pacific oyster, whole body, raw</t>
  </si>
  <si>
    <t>Crasostrea gigas</t>
  </si>
  <si>
    <t>Spring</t>
  </si>
  <si>
    <t>FAT- (analyzed according to AOAC 1975)</t>
  </si>
  <si>
    <t>fi177</t>
  </si>
  <si>
    <t>0901957</t>
  </si>
  <si>
    <t>Summer</t>
  </si>
  <si>
    <t>0901958</t>
  </si>
  <si>
    <t>Fall</t>
  </si>
  <si>
    <t>0901959</t>
  </si>
  <si>
    <t>USA, WA, Coupeville</t>
  </si>
  <si>
    <t>Blue Mussel, whole, cooked (steamed)</t>
  </si>
  <si>
    <t>0901960</t>
  </si>
  <si>
    <t>0901961</t>
  </si>
  <si>
    <t>Winter</t>
  </si>
  <si>
    <t>0901962</t>
  </si>
  <si>
    <t>USA, WA, Shelton</t>
  </si>
  <si>
    <t>VEN</t>
  </si>
  <si>
    <t>Manila clam, whole, cooked (steamed)</t>
  </si>
  <si>
    <t>Venerupis japonica</t>
  </si>
  <si>
    <t>Venerupis spp</t>
  </si>
  <si>
    <t>0901963</t>
  </si>
  <si>
    <t>0901964</t>
  </si>
  <si>
    <t>0901965</t>
  </si>
  <si>
    <t>Manila clam, whole, raw</t>
  </si>
  <si>
    <t>0901966</t>
  </si>
  <si>
    <t>0901967</t>
  </si>
  <si>
    <t>USA, CA coast</t>
  </si>
  <si>
    <t>SQU</t>
  </si>
  <si>
    <t>California squid, edible muscle, frozen</t>
  </si>
  <si>
    <t>Loligo opalescens</t>
  </si>
  <si>
    <t>Opalescent inshore squid</t>
  </si>
  <si>
    <t>0901968</t>
  </si>
  <si>
    <t>0901969</t>
  </si>
  <si>
    <t>USA, MA coast</t>
  </si>
  <si>
    <t>SCX</t>
  </si>
  <si>
    <t>Sea scallop, edible muscle, raw</t>
  </si>
  <si>
    <t>Aquapecten grandis</t>
  </si>
  <si>
    <t>Scallops nei</t>
  </si>
  <si>
    <t>Pectinidae</t>
  </si>
  <si>
    <t>0901970</t>
  </si>
  <si>
    <t>0901971</t>
  </si>
  <si>
    <t>USA, FL, Gulf of Mexico</t>
  </si>
  <si>
    <t>SCB</t>
  </si>
  <si>
    <t>Bay scallop, edible muscle, raw</t>
  </si>
  <si>
    <t>Argopecten irradians</t>
  </si>
  <si>
    <t>Atlantic bay scallop</t>
  </si>
  <si>
    <t>0901972</t>
  </si>
  <si>
    <t>0901973</t>
  </si>
  <si>
    <t>USA, AK coast</t>
  </si>
  <si>
    <t>Dungeness crab, body meat, cooked (steamed)</t>
  </si>
  <si>
    <t xml:space="preserve">FAT- (analyzed according to AOAC 1975) </t>
  </si>
  <si>
    <t>0901974</t>
  </si>
  <si>
    <t>0901975</t>
  </si>
  <si>
    <t>USA, OR coast</t>
  </si>
  <si>
    <t>0901976</t>
  </si>
  <si>
    <t>PRA/PJK</t>
  </si>
  <si>
    <t>Pink shrimp, edible muscle, cooked (steamed)</t>
  </si>
  <si>
    <t>Pandalus borealis/Pandalus jordani</t>
  </si>
  <si>
    <t>Northern prawn/Ocean shrimp</t>
  </si>
  <si>
    <t>0901977</t>
  </si>
  <si>
    <t>0901978</t>
  </si>
  <si>
    <t>Spring, summer, fall</t>
  </si>
  <si>
    <t>[85.6]</t>
  </si>
  <si>
    <t>[7.6]</t>
  </si>
  <si>
    <t>[2.31]</t>
  </si>
  <si>
    <t>[1.13]</t>
  </si>
  <si>
    <t>0901979</t>
  </si>
  <si>
    <t xml:space="preserve">Summer, fall </t>
  </si>
  <si>
    <t>0901980</t>
  </si>
  <si>
    <t>Spring, winter</t>
  </si>
  <si>
    <t>0901981</t>
  </si>
  <si>
    <t>0901982</t>
  </si>
  <si>
    <t>Dungeness crab, leg meat, cooked (steamed)</t>
  </si>
  <si>
    <t>0901983</t>
  </si>
  <si>
    <t>0901984</t>
  </si>
  <si>
    <t>Italy, Ionian Sea, coastal waters of Gulf of Taranto</t>
  </si>
  <si>
    <t>Octopus, wild, juvenile, arms, raw</t>
  </si>
  <si>
    <t>PRO- (analyzed according to Bradford 1976), CHO- (phenol-sulphuric acid method, Dubois et al. 1956); FA converted using XFA</t>
  </si>
  <si>
    <t>fi178</t>
  </si>
  <si>
    <t>0901985</t>
  </si>
  <si>
    <t>Bangladesh</t>
  </si>
  <si>
    <t>MRE</t>
  </si>
  <si>
    <t>Baim/Chikra</t>
  </si>
  <si>
    <t>cleaned parts (according to traditional practices), raw</t>
  </si>
  <si>
    <t>Macrognathus aculeatus</t>
  </si>
  <si>
    <t>CA: values represent Ca content in raw, edible parts, after correcting for plate waste (mainly bones).</t>
  </si>
  <si>
    <t>fi179</t>
  </si>
  <si>
    <t>0901986</t>
  </si>
  <si>
    <t>AIB</t>
  </si>
  <si>
    <t>Chanda</t>
  </si>
  <si>
    <t>Parambassis ranga</t>
  </si>
  <si>
    <t>Glassfishes</t>
  </si>
  <si>
    <t>Ambassidae</t>
  </si>
  <si>
    <t>0901987</t>
  </si>
  <si>
    <t>ESD</t>
  </si>
  <si>
    <t>Darkina</t>
  </si>
  <si>
    <t>Flying barb, cleaned parts (according to traditional practices), raw</t>
  </si>
  <si>
    <t>Esomus danricus</t>
  </si>
  <si>
    <t>Flying barb</t>
  </si>
  <si>
    <t>0901988</t>
  </si>
  <si>
    <t>CLK</t>
  </si>
  <si>
    <t>Kachki</t>
  </si>
  <si>
    <t>Ganges river sprat, cleaned parts (according to traditional practices), raw</t>
  </si>
  <si>
    <t>Corica soborna</t>
  </si>
  <si>
    <t>Ganges river sprat</t>
  </si>
  <si>
    <t>0901989</t>
  </si>
  <si>
    <t>ABO</t>
  </si>
  <si>
    <t>Mola</t>
  </si>
  <si>
    <t>Amblypharyngodon mola</t>
  </si>
  <si>
    <t>0901990</t>
  </si>
  <si>
    <t>PUR</t>
  </si>
  <si>
    <t>Puti</t>
  </si>
  <si>
    <t>Pool barb, cleaned parts (according to traditional practices), raw</t>
  </si>
  <si>
    <t>Puntius sophore</t>
  </si>
  <si>
    <t>Pool barb</t>
  </si>
  <si>
    <t>0901991</t>
  </si>
  <si>
    <t>CNP</t>
  </si>
  <si>
    <t>Taki</t>
  </si>
  <si>
    <t>Spotted snakehead, cleaned parts (according to traditional practices), raw</t>
  </si>
  <si>
    <t>Channa punctatus</t>
  </si>
  <si>
    <t>Spotted snakehead</t>
  </si>
  <si>
    <t>Channa punctata</t>
  </si>
  <si>
    <t>0901992</t>
  </si>
  <si>
    <t>Mrigal, cleaned parts (according to traditional practices), raw</t>
  </si>
  <si>
    <t>Cirrhinus cirrhosus</t>
  </si>
  <si>
    <t>0901993</t>
  </si>
  <si>
    <t>Silver carp, cleaned parts (according to traditional practices), raw</t>
  </si>
  <si>
    <t>Hypophthamichyths molitrix</t>
  </si>
  <si>
    <t>0901994</t>
  </si>
  <si>
    <t>Cambodia</t>
  </si>
  <si>
    <t>RRZ</t>
  </si>
  <si>
    <t>Changwe mool</t>
  </si>
  <si>
    <t>Rasbora torniere</t>
  </si>
  <si>
    <t>Rasbora tawarensis</t>
  </si>
  <si>
    <t>0901995</t>
  </si>
  <si>
    <t>Chunteas phluk</t>
  </si>
  <si>
    <t>Parachela siamensis</t>
  </si>
  <si>
    <t>0901996</t>
  </si>
  <si>
    <t>Kangtrang preng</t>
  </si>
  <si>
    <t>Parambassis wolffi</t>
  </si>
  <si>
    <t>0901997</t>
  </si>
  <si>
    <t>Trey changwa plieng</t>
  </si>
  <si>
    <t>Esomus longimanus</t>
  </si>
  <si>
    <t>0901998</t>
  </si>
  <si>
    <t>FIS</t>
  </si>
  <si>
    <t>Great snakehead, cleaned parts (according to traditional practices), raw</t>
  </si>
  <si>
    <t>Channa micropeltes</t>
  </si>
  <si>
    <t>Indonesian snakehead</t>
  </si>
  <si>
    <t>0901999</t>
  </si>
  <si>
    <t>Giant snakehead, cleaned parts (according to traditional practices), raw</t>
  </si>
  <si>
    <t>0902000</t>
  </si>
  <si>
    <t>Turkey, Anatolia region, Konya</t>
  </si>
  <si>
    <t>Rainbow trout, farmed, deboned, skin-on fillet, raw</t>
  </si>
  <si>
    <t>Sep 1997</t>
  </si>
  <si>
    <t>mean length and weight of fish: 30.1cm, 380g</t>
  </si>
  <si>
    <t>fi180</t>
  </si>
  <si>
    <t>[71.21]</t>
  </si>
  <si>
    <t>[20.28]</t>
  </si>
  <si>
    <t>[1.53]</t>
  </si>
  <si>
    <t>0902001</t>
  </si>
  <si>
    <t>Rainbow trout, farmed, deboned, skin-on fillet, convential oven-cooked</t>
  </si>
  <si>
    <t>mean length and weight of fish: 30.1cm, 380g; 190 °C for 20min</t>
  </si>
  <si>
    <t>[62.22]</t>
  </si>
  <si>
    <t>[25.28]</t>
  </si>
  <si>
    <t>[5.6]</t>
  </si>
  <si>
    <t>[1.92]</t>
  </si>
  <si>
    <t>0902002</t>
  </si>
  <si>
    <t>Rainbow trout, farmed, deboned, skin-on fillet, microwave oven-cooked</t>
  </si>
  <si>
    <t>0902003</t>
  </si>
  <si>
    <t xml:space="preserve">Portugal, Ria Famosa </t>
  </si>
  <si>
    <t>CTG</t>
  </si>
  <si>
    <t>Grooved carpet shell clam, farmed, raw</t>
  </si>
  <si>
    <t>Ruditapes decussatus</t>
  </si>
  <si>
    <t>Grooved carpet shell</t>
  </si>
  <si>
    <t>Jan 2006</t>
  </si>
  <si>
    <t>CHO- (CHO analysed according to Dubois 1956)</t>
  </si>
  <si>
    <t>fi181</t>
  </si>
  <si>
    <t>0902004</t>
  </si>
  <si>
    <t>Feb 2006</t>
  </si>
  <si>
    <t>0902005</t>
  </si>
  <si>
    <t>Mar 2006</t>
  </si>
  <si>
    <t>0902006</t>
  </si>
  <si>
    <t>[83.96]</t>
  </si>
  <si>
    <t>[7.63]</t>
  </si>
  <si>
    <t>[0.07]</t>
  </si>
  <si>
    <t>[0.69]</t>
  </si>
  <si>
    <t>[3.11]</t>
  </si>
  <si>
    <t>0902007</t>
  </si>
  <si>
    <t>May 2006</t>
  </si>
  <si>
    <t>0902008</t>
  </si>
  <si>
    <t>Jun 2006</t>
  </si>
  <si>
    <t>0902009</t>
  </si>
  <si>
    <t>Jul 2006</t>
  </si>
  <si>
    <t>0902010</t>
  </si>
  <si>
    <t>Aug 2006</t>
  </si>
  <si>
    <t>0902011</t>
  </si>
  <si>
    <t>Sep 2006</t>
  </si>
  <si>
    <t>0902012</t>
  </si>
  <si>
    <t>Oct 2006</t>
  </si>
  <si>
    <t>0902013</t>
  </si>
  <si>
    <t>Nov 2006</t>
  </si>
  <si>
    <t>0902014</t>
  </si>
  <si>
    <t>Dec 2006</t>
  </si>
  <si>
    <t>0902015</t>
  </si>
  <si>
    <t>France, Gelucourt</t>
  </si>
  <si>
    <t>FPE</t>
  </si>
  <si>
    <t>Eurasian perch, farmed (pond, extensive system), muscle fillet, raw</t>
  </si>
  <si>
    <t>Perca fluviatilis</t>
  </si>
  <si>
    <t>European perch</t>
  </si>
  <si>
    <t>Perca Fluviatilis</t>
  </si>
  <si>
    <t>Oct 2003</t>
  </si>
  <si>
    <t>mean length and weight: 17.7cm, 171g; fish diet: natural prey</t>
  </si>
  <si>
    <t>fi183</t>
  </si>
  <si>
    <t>0902016</t>
  </si>
  <si>
    <t>France, Lindre</t>
  </si>
  <si>
    <t>Eurasian perch, farmed (tank, semiextensive system),muscle fillet, raw</t>
  </si>
  <si>
    <t>mean length and weight: 16.7cm, 117g; fish diet: natural food and Bio-Optimal ST: 47.1% protein, 10% lipid, 6.1% moisture, 9.7% ash</t>
  </si>
  <si>
    <t>0902017</t>
  </si>
  <si>
    <t>France, Hampont</t>
  </si>
  <si>
    <t>Eurasian perch, farmed (water recirculating system, intensiv system), muscle fillet, raw</t>
  </si>
  <si>
    <t>mean length and weight: 15.7cm, 97g; fish diet: Ecolife 15: 44.6% protein, 17.2% lipid, 5.1% moisture, 7.1% ash</t>
  </si>
  <si>
    <t>0902018</t>
  </si>
  <si>
    <t>Unknown (samples from markets of City of São Paulo, Brazil)</t>
  </si>
  <si>
    <t>SIX</t>
  </si>
  <si>
    <t/>
  </si>
  <si>
    <t>Sardine, head cut, eviscerated, fillet, raw</t>
  </si>
  <si>
    <t>Sardinella spp</t>
  </si>
  <si>
    <t>Sardinellas Nei</t>
  </si>
  <si>
    <t>Jul (Summer) 1999</t>
  </si>
  <si>
    <t>length and weight: 15.5-17.4cm, 48.6-69.1g</t>
  </si>
  <si>
    <t>fi185</t>
  </si>
  <si>
    <t>0902019</t>
  </si>
  <si>
    <t>CKM</t>
  </si>
  <si>
    <t>Croaker, head cut, eviscerated, fillet, raw</t>
  </si>
  <si>
    <t>Micropogonias furnieri</t>
  </si>
  <si>
    <t>Whitemouth croaker</t>
  </si>
  <si>
    <t>length and weight: 34.0-38.0cm, 561.6-701.0g</t>
  </si>
  <si>
    <t>0902020</t>
  </si>
  <si>
    <t>Tilápia, head cut, eviscerated, fillet, raw</t>
  </si>
  <si>
    <t>Oreochromis spp.</t>
  </si>
  <si>
    <t>length and weight: 21.0-26.0cm, 279.5-521.0g</t>
  </si>
  <si>
    <t>0902021</t>
  </si>
  <si>
    <t>Curimbatá, head cut, eviscerated, fillet, raw</t>
  </si>
  <si>
    <t>length and weight: 43.0-49.0cm,1432.6-1813.5g</t>
  </si>
  <si>
    <t>0902022</t>
  </si>
  <si>
    <t>BOB</t>
  </si>
  <si>
    <t>Seabob shrimp head cut, shelled, raw</t>
  </si>
  <si>
    <t>Xiphopenaeus kroyeri</t>
  </si>
  <si>
    <t>Atlantic seabob</t>
  </si>
  <si>
    <t>weight: 331-574.6g</t>
  </si>
  <si>
    <t>0902023</t>
  </si>
  <si>
    <t>Mar (Winter) 1999</t>
  </si>
  <si>
    <t>length and weight: 14.6-19.4cm, 58.8-98.4g</t>
  </si>
  <si>
    <t>0902024</t>
  </si>
  <si>
    <t>length and weight: 30.5-46.6cm, 469.9-1080g</t>
  </si>
  <si>
    <t>0902025</t>
  </si>
  <si>
    <t>length and weight: 26.3-35.0cm, 513.2-772.3g</t>
  </si>
  <si>
    <t>0902026</t>
  </si>
  <si>
    <t>length and weight: 38.0-50cm, 1428.7-1852.3g</t>
  </si>
  <si>
    <t>0902027</t>
  </si>
  <si>
    <t>weight: 299.8-585.4g</t>
  </si>
  <si>
    <t>0902028</t>
  </si>
  <si>
    <t>UK, Scottish coast, English Channel</t>
  </si>
  <si>
    <t>CRA</t>
  </si>
  <si>
    <t>Atlantic spider crab, edible tissue, muscle from claws and walking legs, raw</t>
  </si>
  <si>
    <t>Maja brachydactyla</t>
  </si>
  <si>
    <t>Marine crabs nei</t>
  </si>
  <si>
    <t>Brachyura</t>
  </si>
  <si>
    <t>fi188</t>
  </si>
  <si>
    <t>0902029</t>
  </si>
  <si>
    <t>Atlantic spider crab, edible tissue, gonads, raw</t>
  </si>
  <si>
    <t>[68.1]</t>
  </si>
  <si>
    <t>[24.1]</t>
  </si>
  <si>
    <t>[1.36]</t>
  </si>
  <si>
    <t>[1.62]</t>
  </si>
  <si>
    <t>0902030</t>
  </si>
  <si>
    <t>Atlantic spider crab, edible tissue, gills, raw</t>
  </si>
  <si>
    <t>0902031</t>
  </si>
  <si>
    <t>European Lobster, female, muscle from claws, raw</t>
  </si>
  <si>
    <t>European Lobster</t>
  </si>
  <si>
    <t>Apr 2007</t>
  </si>
  <si>
    <t>total length and weight: 9.03cm, 580.1g, EDIBLE total meat: 0.318</t>
  </si>
  <si>
    <t>fi190</t>
  </si>
  <si>
    <t>0902032</t>
  </si>
  <si>
    <t>European Lobster, male, muscle from claws, raw</t>
  </si>
  <si>
    <t>total length and weight: 9.5cm, 607.8g; EDIBLE total meat: 0.324</t>
  </si>
  <si>
    <t>0902033</t>
  </si>
  <si>
    <t>American Lobster, female, muscle from claws, raw</t>
  </si>
  <si>
    <t>American Lobster</t>
  </si>
  <si>
    <t>total length and weight: 8.95cm, 610.6g; EDIBLE total meat: 0.302</t>
  </si>
  <si>
    <t>0902034</t>
  </si>
  <si>
    <t>American Lobster, male, muscle from claws, raw</t>
  </si>
  <si>
    <t>total length and weight: 8.71cm,546.8g; EDIBLE total meat: 0.285</t>
  </si>
  <si>
    <t>0902035</t>
  </si>
  <si>
    <t>European Lobster, female, hepatopancreas, raw</t>
  </si>
  <si>
    <t>total length and weight: 9.03cm, 580.1g; EDIBLE total meat: 0.318</t>
  </si>
  <si>
    <t>0902036</t>
  </si>
  <si>
    <t>European Lobster, male, hepatopancreas, raw</t>
  </si>
  <si>
    <t>0902037</t>
  </si>
  <si>
    <t>American Lobster, female, hepatopancreas, raw</t>
  </si>
  <si>
    <t>0902038</t>
  </si>
  <si>
    <t>American Lobster, male, hepatopancreas, raw</t>
  </si>
  <si>
    <t>0902039</t>
  </si>
  <si>
    <t>American lobster, female, gonads, raw</t>
  </si>
  <si>
    <t>[68.5]</t>
  </si>
  <si>
    <t>[22.1]</t>
  </si>
  <si>
    <t>[4.4]</t>
  </si>
  <si>
    <t>[1.5]</t>
  </si>
  <si>
    <t>0902040</t>
  </si>
  <si>
    <t>UK</t>
  </si>
  <si>
    <t>Lobster, farmed, claw meat, boiled</t>
  </si>
  <si>
    <t>yield (claw meat) expressed of the whole cooked animal: 0.1422</t>
  </si>
  <si>
    <t>EDIBLE: sum of all edible parts</t>
  </si>
  <si>
    <t>fi191</t>
  </si>
  <si>
    <t>0902041</t>
  </si>
  <si>
    <t>Lobster, farmed, tail meat, boiled</t>
  </si>
  <si>
    <t>yield (tail meat) expressed of the whole cooked animal: 0.2134</t>
  </si>
  <si>
    <t>0902042</t>
  </si>
  <si>
    <t>Lobster, farmed, body meat, boiled</t>
  </si>
  <si>
    <t>yield (body meat) expressed of the whole cooked animal: 0.0224</t>
  </si>
  <si>
    <t>0902043</t>
  </si>
  <si>
    <t>Turkey, Kumbag, Marmara Sea</t>
  </si>
  <si>
    <t>SVE</t>
  </si>
  <si>
    <t>Venerid clam, flesh meat, raw</t>
  </si>
  <si>
    <t>Chamelea gallina</t>
  </si>
  <si>
    <t>Striped venus</t>
  </si>
  <si>
    <t>Winter (Dec, Jan, Feb) 2005, 2006</t>
  </si>
  <si>
    <t>PRO- (according to AOAC 1998); CHO- (according to Merrill and Watt 1973)</t>
  </si>
  <si>
    <t>fi192</t>
  </si>
  <si>
    <t>0902044</t>
  </si>
  <si>
    <t>Spring (Mar, Apr, May) 2006</t>
  </si>
  <si>
    <t>0902045</t>
  </si>
  <si>
    <t>Summer (Jun, Jul, Aug) 2006</t>
  </si>
  <si>
    <t>0902046</t>
  </si>
  <si>
    <t>Autumn (Sep, Oct, Nov) 2006</t>
  </si>
  <si>
    <t>0902047</t>
  </si>
  <si>
    <t>DXL</t>
  </si>
  <si>
    <t>Wedge clam, flesh meat, raw</t>
  </si>
  <si>
    <t>Donax trunculus</t>
  </si>
  <si>
    <t>Truncate donax</t>
  </si>
  <si>
    <t>0902048</t>
  </si>
  <si>
    <t>0902049</t>
  </si>
  <si>
    <t>0902050</t>
  </si>
  <si>
    <t>0902051</t>
  </si>
  <si>
    <t>OFJ</t>
  </si>
  <si>
    <t>Neon flying squid, mantle meat, raw</t>
  </si>
  <si>
    <t>Ommastrephes bartrami</t>
  </si>
  <si>
    <t>Neon flying squid</t>
  </si>
  <si>
    <t>mantle meat (viscera, head and fins removed)</t>
  </si>
  <si>
    <t>Proximates expressed per DM - conversion to FW</t>
  </si>
  <si>
    <t>fi194</t>
  </si>
  <si>
    <t>0902052</t>
  </si>
  <si>
    <t>Neon flying squid, mantle meat, skinned, boiled</t>
  </si>
  <si>
    <t>mantle meat (viscera, head and fins removed); boiled (90-95 °C for 8-10 min)</t>
  </si>
  <si>
    <t>0902053</t>
  </si>
  <si>
    <t>GIS</t>
  </si>
  <si>
    <t>Jumbo squid, mantle meat, raw</t>
  </si>
  <si>
    <t>Dosidicus gigas</t>
  </si>
  <si>
    <t>Jumbo flying squid</t>
  </si>
  <si>
    <t>0902054</t>
  </si>
  <si>
    <t>Jumbo squid, mantle meat, skinned, boiled</t>
  </si>
  <si>
    <t>0902055</t>
  </si>
  <si>
    <t>Turkey, Eceabat, Çanakkale Strait, Marmara Sea</t>
  </si>
  <si>
    <t>Black mussel, farmed, meat, steamed</t>
  </si>
  <si>
    <t>Mytilus galloprovincialis, L.</t>
  </si>
  <si>
    <t>length and weight of mussel: 6-8cm, 25-30g</t>
  </si>
  <si>
    <t>PRO- (analyzed according to AOAC 1980)</t>
  </si>
  <si>
    <t>fi201</t>
  </si>
  <si>
    <t>[73]</t>
  </si>
  <si>
    <t>[17.3]</t>
  </si>
  <si>
    <t>[4]</t>
  </si>
  <si>
    <t>[1.8]</t>
  </si>
  <si>
    <t>0902056</t>
  </si>
  <si>
    <t>Black mussel, farmed, meat, traditionally smoked</t>
  </si>
  <si>
    <t>0902057</t>
  </si>
  <si>
    <t>Black mussel, farmed, meat, liquid smoked, canned with tomato puree sauce</t>
  </si>
  <si>
    <t>[73.4]</t>
  </si>
  <si>
    <t>[12.4]</t>
  </si>
  <si>
    <t>[6.7]</t>
  </si>
  <si>
    <t>[2.8]</t>
  </si>
  <si>
    <t>[13949]</t>
  </si>
  <si>
    <t>[937]</t>
  </si>
  <si>
    <t>[1241]</t>
  </si>
  <si>
    <t>[258]</t>
  </si>
  <si>
    <t>[1847]</t>
  </si>
  <si>
    <t>[682]</t>
  </si>
  <si>
    <t>[395]</t>
  </si>
  <si>
    <t>[543]</t>
  </si>
  <si>
    <t>[861]</t>
  </si>
  <si>
    <t>[1068]</t>
  </si>
  <si>
    <t>[237]</t>
  </si>
  <si>
    <t>[775]</t>
  </si>
  <si>
    <t>[1673]</t>
  </si>
  <si>
    <t>[793]</t>
  </si>
  <si>
    <t>[694]</t>
  </si>
  <si>
    <t>[669]</t>
  </si>
  <si>
    <t>[610]</t>
  </si>
  <si>
    <t>0902058</t>
  </si>
  <si>
    <t>Black mussel, farmed, meat, traditional smoked with curry sauce</t>
  </si>
  <si>
    <t>[71.1]</t>
  </si>
  <si>
    <t>[12.2]</t>
  </si>
  <si>
    <t>[10.6]</t>
  </si>
  <si>
    <t>0902059</t>
  </si>
  <si>
    <t>Black mussel, farmed, meat, liquid smoked with curry sauce</t>
  </si>
  <si>
    <t>[73.8]</t>
  </si>
  <si>
    <t>[11.7]</t>
  </si>
  <si>
    <t>[8.7]</t>
  </si>
  <si>
    <t>[2.6]</t>
  </si>
  <si>
    <t>0902060</t>
  </si>
  <si>
    <t>Brazil, Ceará, Camocim</t>
  </si>
  <si>
    <t>UCC</t>
  </si>
  <si>
    <t>Crab, claw meat, raw</t>
  </si>
  <si>
    <t>Ucides cordatus</t>
  </si>
  <si>
    <t>Ghost crab</t>
  </si>
  <si>
    <t>minerals expressed per DM - conversion to FW</t>
  </si>
  <si>
    <t>fi203</t>
  </si>
  <si>
    <t>[30.751071]</t>
  </si>
  <si>
    <t>[1.154634]</t>
  </si>
  <si>
    <t>[0.905996]</t>
  </si>
  <si>
    <t>[120.373149]</t>
  </si>
  <si>
    <t>[21.009911]</t>
  </si>
  <si>
    <t>[0.064714]</t>
  </si>
  <si>
    <t>[240.186011]</t>
  </si>
  <si>
    <t>[869.335519]</t>
  </si>
  <si>
    <t>[5.904301]</t>
  </si>
  <si>
    <t>0902061</t>
  </si>
  <si>
    <t>Australia, Victoria, Port Phillip Bay; obtained from Ocean Wave Seafoods Company</t>
  </si>
  <si>
    <t>Greenlip abalone, farmed, muscle, raw</t>
  </si>
  <si>
    <t>Haliotis laevigata</t>
  </si>
  <si>
    <t>Nov (spring)  2000</t>
  </si>
  <si>
    <t>fi204</t>
  </si>
  <si>
    <t>0902062</t>
  </si>
  <si>
    <t>Jan (summer) 2000</t>
  </si>
  <si>
    <t>0902063</t>
  </si>
  <si>
    <t>May (autum) 2001</t>
  </si>
  <si>
    <t>0902064</t>
  </si>
  <si>
    <t>Jul (winter) 2001</t>
  </si>
  <si>
    <t>0902065</t>
  </si>
  <si>
    <t>ABR</t>
  </si>
  <si>
    <t>Blacklip abalone, farmed, muscle, raw</t>
  </si>
  <si>
    <t>Haliotis rubra</t>
  </si>
  <si>
    <t>Blacklip abalone</t>
  </si>
  <si>
    <t>0902066</t>
  </si>
  <si>
    <t>0902067</t>
  </si>
  <si>
    <t>0902068</t>
  </si>
  <si>
    <t>0902069</t>
  </si>
  <si>
    <t>Brazil, Santa Catarina</t>
  </si>
  <si>
    <t>PRF</t>
  </si>
  <si>
    <t>Gigante da Malásia</t>
  </si>
  <si>
    <t>Giant river prawn, farmed, flesh, small size, raw</t>
  </si>
  <si>
    <t>Macrobrachium rosenbergii</t>
  </si>
  <si>
    <t>Giant river prawn</t>
  </si>
  <si>
    <t>mean length and weight of shrimp: 12.4cm, 13g</t>
  </si>
  <si>
    <t>FASAT, FAMS, FAPU, FAPUN3, FAPUN6 calculated by summation of individual FA</t>
  </si>
  <si>
    <t>fi205</t>
  </si>
  <si>
    <t>0902070</t>
  </si>
  <si>
    <t>Malaysia (west coast), Perak, Kuala Dining</t>
  </si>
  <si>
    <t>MSV</t>
  </si>
  <si>
    <t>Green-lipped mussel, farmed, soft tissue, raw</t>
  </si>
  <si>
    <t>Perna viridis</t>
  </si>
  <si>
    <t>Green mussel</t>
  </si>
  <si>
    <t>mean shell length: 8.71cm</t>
  </si>
  <si>
    <t>fi209</t>
  </si>
  <si>
    <t>0902071</t>
  </si>
  <si>
    <t>Malaysia (west coast), Selangor, Bagan Lalang</t>
  </si>
  <si>
    <t>Apr 2000</t>
  </si>
  <si>
    <t>mean shell length: 8.89cm</t>
  </si>
  <si>
    <t>0902072</t>
  </si>
  <si>
    <t>Malaysia (west coast), Negeri Sembilan, Pasir Panjang</t>
  </si>
  <si>
    <t>mean shell length: 8.78cm</t>
  </si>
  <si>
    <t>0902073</t>
  </si>
  <si>
    <t>Malaysia (west coast), Negeri Sembilan, Kuala Linggi</t>
  </si>
  <si>
    <t>mean shell length: 8.00cm</t>
  </si>
  <si>
    <t>0902074</t>
  </si>
  <si>
    <t>Malaysia (west coast), Sebatu, Malacca</t>
  </si>
  <si>
    <t>mean shell length: 8.54cm</t>
  </si>
  <si>
    <t>0902075</t>
  </si>
  <si>
    <t>Sweden, Gotland, Baltic Sea</t>
  </si>
  <si>
    <t>AAS</t>
  </si>
  <si>
    <t>Noble crayfish, farmed, male, tail muscle, raw</t>
  </si>
  <si>
    <t>Astacus astacus</t>
  </si>
  <si>
    <t>Noble crayfish</t>
  </si>
  <si>
    <t>mean length and weight: 10.1 cm, 42.8g; diet: marine fish (sprat, herring)</t>
  </si>
  <si>
    <t>fi213</t>
  </si>
  <si>
    <t>0902076</t>
  </si>
  <si>
    <t>Sweden, freshwater tanks</t>
  </si>
  <si>
    <t>PCL</t>
  </si>
  <si>
    <t>Signal crayfish, farmed, male, tail muscle, raw</t>
  </si>
  <si>
    <t>Pacifastacus leniusculus</t>
  </si>
  <si>
    <t>Signal crayfish</t>
  </si>
  <si>
    <t>mean length and weight: 11.1cm, 69.5g; diet: frozen green peas, maize, alder leaves; EWOS fish feed (occasionally): 50% protein, 13% lipids, 17% carbohydrate, 11% ash, 1% fibre, 8% water)</t>
  </si>
  <si>
    <t>0902077</t>
  </si>
  <si>
    <t>Taiwan, local manufaturer in Kaoshsiung</t>
  </si>
  <si>
    <t>Neon flying squid, mantle meat (viscera, head, and fins remove, skinned), boiled</t>
  </si>
  <si>
    <t>boiled (75-85°C for 3-5 minutes)</t>
  </si>
  <si>
    <t>PRO-, FAT- (analyzed according to AOAC 1980)</t>
  </si>
  <si>
    <t>fi217</t>
  </si>
  <si>
    <t>0902078</t>
  </si>
  <si>
    <t>China,Shanghai Yingsheng mitten crab farm</t>
  </si>
  <si>
    <t>Chinese mitten crab, farmed, female, pond-reared, gonads, raw</t>
  </si>
  <si>
    <t>crab diet (Yisheng Company): 38.4% protein, 9.1% water, 4.5% lipid, 15.6% ash); mean carpace length and body weight: 5.53cm, 103.10g</t>
  </si>
  <si>
    <t>fi218</t>
  </si>
  <si>
    <t>0902079</t>
  </si>
  <si>
    <t>Chinese mitten crab, farmed, female, pond-reared, muscle, raw</t>
  </si>
  <si>
    <t>0902080</t>
  </si>
  <si>
    <t>Chinese mitten crab, farmed, male, pond-reared, muscle, raw</t>
  </si>
  <si>
    <t>crab diet (Yisheng Company): 38.4% protein, 9.1% water, 4.5% lipid, 15.6% ash); mean carpace length and body weight: 5.84cm, 140.92g</t>
  </si>
  <si>
    <t>0902081</t>
  </si>
  <si>
    <t>Brazil, São Paulo state, Ubatuba</t>
  </si>
  <si>
    <t>MSL</t>
  </si>
  <si>
    <t>Mussel, farmed, edible part, raw</t>
  </si>
  <si>
    <t>Perna perna</t>
  </si>
  <si>
    <t>South American rock mussel</t>
  </si>
  <si>
    <t>WATER: calc. by difference; CHO- (Somogy-Nelson method)</t>
  </si>
  <si>
    <t>fi223</t>
  </si>
  <si>
    <t>[70.61]</t>
  </si>
  <si>
    <t>0902082</t>
  </si>
  <si>
    <t>[72.58]</t>
  </si>
  <si>
    <t>0902083</t>
  </si>
  <si>
    <t>[71.38]</t>
  </si>
  <si>
    <t>0902084</t>
  </si>
  <si>
    <t>0902085</t>
  </si>
  <si>
    <t>[73.23]</t>
  </si>
  <si>
    <t>0902086</t>
  </si>
  <si>
    <t>[71.83]</t>
  </si>
  <si>
    <t>0902087</t>
  </si>
  <si>
    <t>[73.48]</t>
  </si>
  <si>
    <t>0902088</t>
  </si>
  <si>
    <t>[73.12]</t>
  </si>
  <si>
    <t>0902089</t>
  </si>
  <si>
    <t>[72.37]</t>
  </si>
  <si>
    <t>0902090</t>
  </si>
  <si>
    <t>[70.77]</t>
  </si>
  <si>
    <t>0902091</t>
  </si>
  <si>
    <t>[72.24]</t>
  </si>
  <si>
    <t>0902092</t>
  </si>
  <si>
    <t>[69.64]</t>
  </si>
  <si>
    <t>0902093</t>
  </si>
  <si>
    <t>Unknown (samples from market in Calabar, Nigeria)</t>
  </si>
  <si>
    <t>Clam, wild, edible flesh, raw</t>
  </si>
  <si>
    <t>Egeria radiata</t>
  </si>
  <si>
    <t>Bivalvia</t>
  </si>
  <si>
    <t>proximates and minerals expressed per DM - conversion to FW; FAT- (extraction according to AOAC 1975)</t>
  </si>
  <si>
    <t>fi224</t>
  </si>
  <si>
    <t>0902094</t>
  </si>
  <si>
    <t>Italy, Adriatic Sea, Lagoon of Venice</t>
  </si>
  <si>
    <t>Oyster, farmed, edible flesh, raw</t>
  </si>
  <si>
    <t>fi226</t>
  </si>
  <si>
    <t>0902095</t>
  </si>
  <si>
    <t>Sep 2001</t>
  </si>
  <si>
    <t>[220]</t>
  </si>
  <si>
    <t>0902096</t>
  </si>
  <si>
    <t>Feb 2002</t>
  </si>
  <si>
    <t>[710]</t>
  </si>
  <si>
    <t>0902097</t>
  </si>
  <si>
    <t>[900]</t>
  </si>
  <si>
    <t>0902098</t>
  </si>
  <si>
    <t>0902099</t>
  </si>
  <si>
    <t>Mexico, Sonora, Bahia Kino</t>
  </si>
  <si>
    <t>Pacific lions-paw scallop, farmed, meat, raw</t>
  </si>
  <si>
    <t>Nodipecten subnodosus</t>
  </si>
  <si>
    <t>Winter (Jan) 2003</t>
  </si>
  <si>
    <t>FAT-/PRO- (analyzed according to AOAC 1995)</t>
  </si>
  <si>
    <t>fi227</t>
  </si>
  <si>
    <t>0902100</t>
  </si>
  <si>
    <t>Spring (Apr) 2003</t>
  </si>
  <si>
    <t>0902101</t>
  </si>
  <si>
    <t>Summer (Sep) 2003</t>
  </si>
  <si>
    <t>0902102</t>
  </si>
  <si>
    <t>Autumn (Nov) 2003</t>
  </si>
  <si>
    <t>0902103</t>
  </si>
  <si>
    <t>Vietnma, Mekong Delta, Chau Doc town</t>
  </si>
  <si>
    <t>Tra catfish, farmed in cage, fillet, raw</t>
  </si>
  <si>
    <t>weight: 900-1000g, 7 months old</t>
  </si>
  <si>
    <t>FAT-/PRO- (analyzed according to AOAC 2000)</t>
  </si>
  <si>
    <t>fi229</t>
  </si>
  <si>
    <t>0902104</t>
  </si>
  <si>
    <t>Vietnam, Mekong Delta, Chau Than district</t>
  </si>
  <si>
    <t>Tra catfish, farmed in pond, fillet, raw</t>
  </si>
  <si>
    <t>7 months old</t>
  </si>
  <si>
    <t>0902105</t>
  </si>
  <si>
    <t>PGZ</t>
  </si>
  <si>
    <t>Basa Catfish, farmed in cage, fillet, raw</t>
  </si>
  <si>
    <t>Pangasius bocourti</t>
  </si>
  <si>
    <t>Pangas catfishes nei</t>
  </si>
  <si>
    <t>Pangasius spp</t>
  </si>
  <si>
    <t>0902106</t>
  </si>
  <si>
    <t>Unknown (samples from markets of Kochi-city/Kanazawa-city, Japan)</t>
  </si>
  <si>
    <t>Surf clam, raw</t>
  </si>
  <si>
    <t>Sipsula (Pseudocardium) sachalinensis</t>
  </si>
  <si>
    <t>VITB12: Lactobacillus leichmannii</t>
  </si>
  <si>
    <t>fi230</t>
  </si>
  <si>
    <t>0902107</t>
  </si>
  <si>
    <t>Ear shell, raw</t>
  </si>
  <si>
    <t>Sulculus diversicolor aquatieis</t>
  </si>
  <si>
    <t>0902108</t>
  </si>
  <si>
    <t>Shirogai shell, raw</t>
  </si>
  <si>
    <t>Peronidia venulosa</t>
  </si>
  <si>
    <t>0902109</t>
  </si>
  <si>
    <t>ACB</t>
  </si>
  <si>
    <t>Ark shell, raw</t>
  </si>
  <si>
    <t>Anadara (Scapharca) broughtonii</t>
  </si>
  <si>
    <t>Inflated ark</t>
  </si>
  <si>
    <t>Scapharca broughtonii</t>
  </si>
  <si>
    <t>0902110</t>
  </si>
  <si>
    <t>Oyster, raw</t>
  </si>
  <si>
    <t>0902111</t>
  </si>
  <si>
    <t>CMJ</t>
  </si>
  <si>
    <t>Corb shell, raw</t>
  </si>
  <si>
    <t>Corbicula japonica Prime</t>
  </si>
  <si>
    <t>Japanese corbicula</t>
  </si>
  <si>
    <t>Corbicula japonica</t>
  </si>
  <si>
    <t>0902112</t>
  </si>
  <si>
    <t>CLJ</t>
  </si>
  <si>
    <t>Short-necked clam, raw</t>
  </si>
  <si>
    <t>Tapes (Amygdala) philippinarum</t>
  </si>
  <si>
    <t>Japanese carpet shell</t>
  </si>
  <si>
    <t>Ruditapes philippinarum</t>
  </si>
  <si>
    <t>0902113</t>
  </si>
  <si>
    <t>MUK</t>
  </si>
  <si>
    <t>Mussel, raw</t>
  </si>
  <si>
    <t>Mytilus coruscus Gould</t>
  </si>
  <si>
    <t>Korean mussel</t>
  </si>
  <si>
    <t>Mytilus coruscus</t>
  </si>
  <si>
    <t>0902114</t>
  </si>
  <si>
    <t>HCJ</t>
  </si>
  <si>
    <t>Hard clam, raw</t>
  </si>
  <si>
    <t>Meretrix lusoria</t>
  </si>
  <si>
    <t>Japanese hard clam</t>
  </si>
  <si>
    <t>0902115</t>
  </si>
  <si>
    <t>GAS</t>
  </si>
  <si>
    <t>Abalone, raw</t>
  </si>
  <si>
    <t>Nordotis discus</t>
  </si>
  <si>
    <t>Gastropods nei</t>
  </si>
  <si>
    <t>Gastropoda</t>
  </si>
  <si>
    <t>0902116</t>
  </si>
  <si>
    <t>JSC</t>
  </si>
  <si>
    <t>Scallop, raw</t>
  </si>
  <si>
    <t>Patinopectan (Mizuhopecten) yessoensis</t>
  </si>
  <si>
    <t>Yesso scallop</t>
  </si>
  <si>
    <t>Patinopecten yessoensis</t>
  </si>
  <si>
    <t>0902117</t>
  </si>
  <si>
    <t>TOS</t>
  </si>
  <si>
    <t>Top shell, raw</t>
  </si>
  <si>
    <t>Batillus cornutus</t>
  </si>
  <si>
    <t>Horned turban</t>
  </si>
  <si>
    <t>Turbo cornutus</t>
  </si>
  <si>
    <t>0902118</t>
  </si>
  <si>
    <t>PNB/PPS</t>
  </si>
  <si>
    <t>Pink shrimp, flesh (without exosceletron, cephalotorax and intestine), raw</t>
  </si>
  <si>
    <t>Penaeus brasiliensis/Penaeus paulensis</t>
  </si>
  <si>
    <t>Redspotted shrimp/Sao Paolo shrimp</t>
  </si>
  <si>
    <t>fi233</t>
  </si>
  <si>
    <t>0902119</t>
  </si>
  <si>
    <t>Korea, South coast</t>
  </si>
  <si>
    <t>RPW</t>
  </si>
  <si>
    <t>Pibbulgodoong</t>
  </si>
  <si>
    <t>Murex shell, edible portion, raw</t>
  </si>
  <si>
    <t>Rapana venosa</t>
  </si>
  <si>
    <t>Thomas' rapa whelk</t>
  </si>
  <si>
    <t>Mar, May, Jun, Jul, Aug, Oct 2003, 2004</t>
  </si>
  <si>
    <t>fi234</t>
  </si>
  <si>
    <t>0902120</t>
  </si>
  <si>
    <t>Korea, West coast</t>
  </si>
  <si>
    <t>0902121</t>
  </si>
  <si>
    <t>Pijogae</t>
  </si>
  <si>
    <t>Ark shell, edible portion, raw</t>
  </si>
  <si>
    <t>Mar, May, Jun, Jul, Aug, Oct, Dec 2003, 2004</t>
  </si>
  <si>
    <t>0902122</t>
  </si>
  <si>
    <t>0902123</t>
  </si>
  <si>
    <t>South coast, Korea</t>
  </si>
  <si>
    <t>SVT</t>
  </si>
  <si>
    <t>Garimatjogae</t>
  </si>
  <si>
    <t>Jack - knife clam, edible portion, raw</t>
  </si>
  <si>
    <t>Sinonovacula constricta</t>
  </si>
  <si>
    <t>Constricted tagelus</t>
  </si>
  <si>
    <t>0902124</t>
  </si>
  <si>
    <t>West coast. Korea</t>
  </si>
  <si>
    <t>0902125</t>
  </si>
  <si>
    <t>Baekhap</t>
  </si>
  <si>
    <t>Orient hard clam, edible portion, raw</t>
  </si>
  <si>
    <t>0902126</t>
  </si>
  <si>
    <t>0902127</t>
  </si>
  <si>
    <t>Bagirak</t>
  </si>
  <si>
    <t>0902128</t>
  </si>
  <si>
    <t>0902129</t>
  </si>
  <si>
    <t>Costa Rica, Lagarto Pacific</t>
  </si>
  <si>
    <t>TBG</t>
  </si>
  <si>
    <t>Cambute, meat, raw</t>
  </si>
  <si>
    <t>Strombus galeatus</t>
  </si>
  <si>
    <t>Giant Eastern Pacific conch</t>
  </si>
  <si>
    <t>mean weight: 157.0g</t>
  </si>
  <si>
    <t>FAT-/PRO-/CHO- (analyzed according to AOAC 1985)</t>
  </si>
  <si>
    <t>fi235</t>
  </si>
  <si>
    <t>0902130</t>
  </si>
  <si>
    <t>Costa Rica, Bahia Ballena, Pacific</t>
  </si>
  <si>
    <t>mean weight: 241.3g</t>
  </si>
  <si>
    <t>0902131</t>
  </si>
  <si>
    <t>Costa Rica, Golfito, Pacific</t>
  </si>
  <si>
    <t>mean weight: 141.9g</t>
  </si>
  <si>
    <t>0902132</t>
  </si>
  <si>
    <t>Itlay, Venice</t>
  </si>
  <si>
    <t>Manila clam, meat, raw</t>
  </si>
  <si>
    <t>mean length and weight: 2.794cm, 13.66g</t>
  </si>
  <si>
    <t>fi236</t>
  </si>
  <si>
    <t>0902133</t>
  </si>
  <si>
    <t>Turkey, Izmir</t>
  </si>
  <si>
    <t>Turkish clam, meat, raw</t>
  </si>
  <si>
    <t>mean length and weight: 3.210cm, 11.46g</t>
  </si>
  <si>
    <t>0902134</t>
  </si>
  <si>
    <t>Unknown, North-eastern Atlantic</t>
  </si>
  <si>
    <t>Octoupus, edible flesh (mantle, arms), raw</t>
  </si>
  <si>
    <t>May-Sep</t>
  </si>
  <si>
    <t>fi241</t>
  </si>
  <si>
    <t>0902135</t>
  </si>
  <si>
    <t>Squid, edible flesh (mantle, arms), raw</t>
  </si>
  <si>
    <t>0902136</t>
  </si>
  <si>
    <t>Cuttlefish, edible flesh (mantle, arms), raw</t>
  </si>
  <si>
    <t>0902137</t>
  </si>
  <si>
    <t>ACH</t>
  </si>
  <si>
    <t>Arctic char, flesh, raw</t>
  </si>
  <si>
    <t>Salvelinus alpinus</t>
  </si>
  <si>
    <t>Arctic char</t>
  </si>
  <si>
    <t>FA tr= &lt;0.05g/100g food</t>
  </si>
  <si>
    <t>fi197</t>
  </si>
  <si>
    <t>0902138</t>
  </si>
  <si>
    <t>0902139</t>
  </si>
  <si>
    <t>Cod, flesh, raw</t>
  </si>
  <si>
    <t>Boreogadus spp./Eleginus spp./Gadus spp./Microgadus spp.</t>
  </si>
  <si>
    <t>Gadiformes nei</t>
  </si>
  <si>
    <t>Gadiformes/Gadidae</t>
  </si>
  <si>
    <t>0902140</t>
  </si>
  <si>
    <t>Cod, flesh, salted and rehydrated</t>
  </si>
  <si>
    <t>0902141</t>
  </si>
  <si>
    <t>TLA</t>
  </si>
  <si>
    <t>Grayling, flesh, cooked</t>
  </si>
  <si>
    <t>Thymallus arcticus</t>
  </si>
  <si>
    <t>Arctic grayling</t>
  </si>
  <si>
    <t>0902142</t>
  </si>
  <si>
    <t>Grayling, flesh, raw</t>
  </si>
  <si>
    <t>0902143</t>
  </si>
  <si>
    <t>SLZ</t>
  </si>
  <si>
    <t>Salmon, eggs, raw</t>
  </si>
  <si>
    <t>Oncorhynchus spp./Salmo spp.</t>
  </si>
  <si>
    <t>Salmonids nei</t>
  </si>
  <si>
    <t>Salmonidae</t>
  </si>
  <si>
    <t>[893]</t>
  </si>
  <si>
    <t>[58]</t>
  </si>
  <si>
    <t>[27]</t>
  </si>
  <si>
    <t>0902144</t>
  </si>
  <si>
    <t>Salmon, flesh, cooked</t>
  </si>
  <si>
    <t>0902145</t>
  </si>
  <si>
    <t>Salmon, flesh, raw</t>
  </si>
  <si>
    <t>0902146</t>
  </si>
  <si>
    <t>Salmon, flesh, smoked</t>
  </si>
  <si>
    <t>0902147</t>
  </si>
  <si>
    <t>Trout, flesh, cooked</t>
  </si>
  <si>
    <t>Salmo spp./Salvelinus spp.</t>
  </si>
  <si>
    <t>0902148</t>
  </si>
  <si>
    <t>0902149</t>
  </si>
  <si>
    <t>Trout, flesh, raw</t>
  </si>
  <si>
    <t>0902150</t>
  </si>
  <si>
    <t>0902151</t>
  </si>
  <si>
    <t>Trout, flesh, smoked</t>
  </si>
  <si>
    <t>0902152</t>
  </si>
  <si>
    <t>WHF</t>
  </si>
  <si>
    <t>Whitefish, flesh, baked</t>
  </si>
  <si>
    <t>Coregonus clupeaformis/Coregonus nasus</t>
  </si>
  <si>
    <t>Whitefishes nei</t>
  </si>
  <si>
    <t>Coregonus spp</t>
  </si>
  <si>
    <t>[0.6]</t>
  </si>
  <si>
    <t>[0.5]</t>
  </si>
  <si>
    <t>[0.3]</t>
  </si>
  <si>
    <t>[375]</t>
  </si>
  <si>
    <t>[35]</t>
  </si>
  <si>
    <t>[0.01]</t>
  </si>
  <si>
    <t>[40]</t>
  </si>
  <si>
    <t>[223]</t>
  </si>
  <si>
    <t>0902153</t>
  </si>
  <si>
    <t>0902154</t>
  </si>
  <si>
    <t>Whitefish, flesh, raw</t>
  </si>
  <si>
    <t>0902155</t>
  </si>
  <si>
    <t>0902156</t>
  </si>
  <si>
    <t>China, Shengsi Islands</t>
  </si>
  <si>
    <t>Thick shell mussel, farmed, flesh, raw</t>
  </si>
  <si>
    <t>Spring (Apr)</t>
  </si>
  <si>
    <t>all values expressed per DM - conversion to FW; FA converted using XFA</t>
  </si>
  <si>
    <t>fi198</t>
  </si>
  <si>
    <t>0902157</t>
  </si>
  <si>
    <t>Summer (Jul)</t>
  </si>
  <si>
    <t>0902158</t>
  </si>
  <si>
    <t>Autumn (Oct)</t>
  </si>
  <si>
    <t>0902159</t>
  </si>
  <si>
    <t>Winter (Jan)</t>
  </si>
  <si>
    <t>0902160</t>
  </si>
  <si>
    <t>Iceland</t>
  </si>
  <si>
    <t>Bleikja, eldisbleikja, flök</t>
  </si>
  <si>
    <t>Arctic charr, farmed, fillet, raw</t>
  </si>
  <si>
    <t>data entered without mean/max/SD</t>
  </si>
  <si>
    <t>im11</t>
  </si>
  <si>
    <t>0902161</t>
  </si>
  <si>
    <t>Lax, eldislax, flök</t>
  </si>
  <si>
    <t>Atlantic salmon, farmed, fillet, raw</t>
  </si>
  <si>
    <t xml:space="preserve">Salmo salar </t>
  </si>
  <si>
    <t>0902162</t>
  </si>
  <si>
    <t>Iceland, North Atlantic</t>
  </si>
  <si>
    <t>ZLS</t>
  </si>
  <si>
    <t>Grásleppuhrognakavíar</t>
  </si>
  <si>
    <t>Caviar, lumpsucker, wild, raw</t>
  </si>
  <si>
    <t>(Lumpfishes nei)</t>
  </si>
  <si>
    <t>(Cyclopteridae)</t>
  </si>
  <si>
    <t>0902163</t>
  </si>
  <si>
    <t>Lax, flök, reykt</t>
  </si>
  <si>
    <t>Salmon, farmed, fillet, smoked</t>
  </si>
  <si>
    <t>(Salmonids nei)</t>
  </si>
  <si>
    <t>(Salmonidae)</t>
  </si>
  <si>
    <t>0902164</t>
  </si>
  <si>
    <t>Saltfiskur, flattur, hrár</t>
  </si>
  <si>
    <t>Cod, wild, salted</t>
  </si>
  <si>
    <t>(Gadiformes nei)</t>
  </si>
  <si>
    <t>(Gadiformes)</t>
  </si>
  <si>
    <t>0902165</t>
  </si>
  <si>
    <t>Saltfiskur, flattur, útvatnaður, hrár</t>
  </si>
  <si>
    <t>Salted cod, wild, desalted, boiled</t>
  </si>
  <si>
    <t>0902166</t>
  </si>
  <si>
    <t>Saltfiskur, flattur, útvatnaður, soðinn</t>
  </si>
  <si>
    <t>0902167</t>
  </si>
  <si>
    <t>CLP</t>
  </si>
  <si>
    <t>Síld, flök, reykt</t>
  </si>
  <si>
    <t>Herring, wild, fillet, smoked</t>
  </si>
  <si>
    <t>(Herrings, sardines nei)</t>
  </si>
  <si>
    <t>(Clupeidae)</t>
  </si>
  <si>
    <t>0902168</t>
  </si>
  <si>
    <t>Þorskur, siginn, hrár</t>
  </si>
  <si>
    <t>Cod, wild, dried</t>
  </si>
  <si>
    <t>0902169</t>
  </si>
  <si>
    <t>Þorskur, siginn, soðinn</t>
  </si>
  <si>
    <t>Cod, wild, dried, boiled</t>
  </si>
  <si>
    <t>0902170</t>
  </si>
  <si>
    <t xml:space="preserve">Salvelinus alpinus </t>
  </si>
  <si>
    <t>0902171</t>
  </si>
  <si>
    <t>0902172</t>
  </si>
  <si>
    <t>0902173</t>
  </si>
  <si>
    <t>0902174</t>
  </si>
  <si>
    <t>0902175</t>
  </si>
  <si>
    <t>0902176</t>
  </si>
  <si>
    <t>0902177</t>
  </si>
  <si>
    <t>0902178</t>
  </si>
  <si>
    <t>0902179</t>
  </si>
  <si>
    <t>0902180</t>
  </si>
  <si>
    <t>0902181</t>
  </si>
  <si>
    <t>Bangladesh, Kishoreeganj/Mymensingh district</t>
  </si>
  <si>
    <t>Mrigal</t>
  </si>
  <si>
    <t>Mrigal carp, edible parts (eyes included), raw</t>
  </si>
  <si>
    <t>Sep, Oct</t>
  </si>
  <si>
    <t>fish cleaned according to local practices</t>
  </si>
  <si>
    <t>additional data received from author; RETOLDH: sum of 13-cis and all-trans dehydroretinol</t>
  </si>
  <si>
    <t>fi199</t>
  </si>
  <si>
    <t>0902182</t>
  </si>
  <si>
    <t>Rui</t>
  </si>
  <si>
    <t>Roho labeo, body tissue, raw</t>
  </si>
  <si>
    <t>XFA (internal use)</t>
  </si>
  <si>
    <t>FACID(g)</t>
  </si>
  <si>
    <t>FAPUN3(g)</t>
  </si>
  <si>
    <t>FAPUN6(g)</t>
  </si>
  <si>
    <t>FAPUN9(g)</t>
  </si>
  <si>
    <t>FAN3(g)</t>
  </si>
  <si>
    <t>FAN6(g)</t>
  </si>
  <si>
    <t>F4D0(g)</t>
  </si>
  <si>
    <t>F6D0(g)</t>
  </si>
  <si>
    <t>F8D0(g)</t>
  </si>
  <si>
    <t>F9D0(g)</t>
  </si>
  <si>
    <t>F10D0(g)</t>
  </si>
  <si>
    <t>F11D0(g)</t>
  </si>
  <si>
    <t>F14D0I(g)</t>
  </si>
  <si>
    <t>F15D0I(g)</t>
  </si>
  <si>
    <t>F16D0I(g)</t>
  </si>
  <si>
    <t>F16D0AI(g)</t>
  </si>
  <si>
    <t>F17D0I(g)</t>
  </si>
  <si>
    <t>F17D0AI(g)</t>
  </si>
  <si>
    <t>F19D0(g)</t>
  </si>
  <si>
    <t>F23D0(g)</t>
  </si>
  <si>
    <t>F12D1(g)</t>
  </si>
  <si>
    <t>F14D1N9(g)</t>
  </si>
  <si>
    <t>F14D1N7(g)</t>
  </si>
  <si>
    <t>F14D1N5(g)</t>
  </si>
  <si>
    <t>F14D1N3(g)</t>
  </si>
  <si>
    <t>F14D1(g)</t>
  </si>
  <si>
    <t>F15D1N9(g)</t>
  </si>
  <si>
    <t>F15D1N7(g)</t>
  </si>
  <si>
    <t>F15D1(g)</t>
  </si>
  <si>
    <t>F16D1N11(g)</t>
  </si>
  <si>
    <t>F16D1N9(g)</t>
  </si>
  <si>
    <t>F16D1TN7(g)</t>
  </si>
  <si>
    <t>F16D1N7(g)</t>
  </si>
  <si>
    <t>F17D1N9(g)</t>
  </si>
  <si>
    <t>F17D1N8(g)</t>
  </si>
  <si>
    <t>F17D1N7(g)</t>
  </si>
  <si>
    <t>F17D1N5(g)</t>
  </si>
  <si>
    <t>F17D1(g)</t>
  </si>
  <si>
    <t>F18D1CN11(g)</t>
  </si>
  <si>
    <t>F18D1N11(g)</t>
  </si>
  <si>
    <t>F18D1CN9(g)</t>
  </si>
  <si>
    <t>F18D1TN9(g)</t>
  </si>
  <si>
    <t>F18D1N9(g)</t>
  </si>
  <si>
    <t>F18D1CN7(g)</t>
  </si>
  <si>
    <t>F18D1N7(g)</t>
  </si>
  <si>
    <t>F18D1N5(g)</t>
  </si>
  <si>
    <t>F18D1T(g)</t>
  </si>
  <si>
    <t>F19D1N11(g)</t>
  </si>
  <si>
    <t>F19D1N9(g)</t>
  </si>
  <si>
    <t>F20D1CN11(g)</t>
  </si>
  <si>
    <t>F20D1N11(g)</t>
  </si>
  <si>
    <t>F20D1N9(g)</t>
  </si>
  <si>
    <t>F20D1N8(g)</t>
  </si>
  <si>
    <t>F20D1N7(g)</t>
  </si>
  <si>
    <t>F20D1T(g)</t>
  </si>
  <si>
    <t>F22D1N11(g)</t>
  </si>
  <si>
    <t>F22D1N9(g)</t>
  </si>
  <si>
    <t>F22D1T(g)</t>
  </si>
  <si>
    <t>F24D1N9(g)</t>
  </si>
  <si>
    <t>F16D2N7(g)</t>
  </si>
  <si>
    <t>F16D2N6(g)</t>
  </si>
  <si>
    <t>F16D2N4(g)</t>
  </si>
  <si>
    <t>F18D2CN6(g)</t>
  </si>
  <si>
    <t>F18D2TTN6(g)</t>
  </si>
  <si>
    <t>F18D2TN6(g)</t>
  </si>
  <si>
    <t>F18D2N6(g)</t>
  </si>
  <si>
    <t>F18D2N5(g)</t>
  </si>
  <si>
    <t>F18D2N4(g)</t>
  </si>
  <si>
    <t>F18D2T(g)</t>
  </si>
  <si>
    <t>F20D2N9(g)</t>
  </si>
  <si>
    <t>F20D2N6(g)</t>
  </si>
  <si>
    <t>F20D2C(g)</t>
  </si>
  <si>
    <t>F22D2N6(g)</t>
  </si>
  <si>
    <t>F22D2C(g)</t>
  </si>
  <si>
    <t>F16D3N4(g)</t>
  </si>
  <si>
    <t>F16D3N3(g)</t>
  </si>
  <si>
    <t>F16D3(g)</t>
  </si>
  <si>
    <t>F18D3CN6(g)</t>
  </si>
  <si>
    <t>F18D3N6(g)</t>
  </si>
  <si>
    <t>F18D3N4(g)</t>
  </si>
  <si>
    <t>F18D3CN3(g)</t>
  </si>
  <si>
    <t>F18D3TN3(g)</t>
  </si>
  <si>
    <t>F18D3N3(g)</t>
  </si>
  <si>
    <t>F20D3N9(g)</t>
  </si>
  <si>
    <t>F20D3N6(g)</t>
  </si>
  <si>
    <t>F20D3N3(g)</t>
  </si>
  <si>
    <t>F20D3(g)</t>
  </si>
  <si>
    <t>F22D3N6(g)</t>
  </si>
  <si>
    <t>F22D3N3(g)</t>
  </si>
  <si>
    <t>F16D4N4(g)</t>
  </si>
  <si>
    <t>F16D4N3(g)</t>
  </si>
  <si>
    <t>F16D4N1(g)</t>
  </si>
  <si>
    <t>F16D4(g)</t>
  </si>
  <si>
    <t>F18D4N3(g)</t>
  </si>
  <si>
    <t>F18D4N1(g)</t>
  </si>
  <si>
    <t>F18D4(g)</t>
  </si>
  <si>
    <t>F20D4CN6(g)</t>
  </si>
  <si>
    <t>F20D4N6(g)</t>
  </si>
  <si>
    <t>F20D4N3(g)</t>
  </si>
  <si>
    <t>F20D4(g)</t>
  </si>
  <si>
    <t>F22D4N6(g)</t>
  </si>
  <si>
    <t>F22D4N3(g)</t>
  </si>
  <si>
    <t>F22D4(g)</t>
  </si>
  <si>
    <t>F20D5CN3(g)</t>
  </si>
  <si>
    <t>F20D5N3(g)</t>
  </si>
  <si>
    <t>F20D5(g)</t>
  </si>
  <si>
    <t>F21D5N3(g)</t>
  </si>
  <si>
    <t>F21D5(g)</t>
  </si>
  <si>
    <t>F22D5N6(g)</t>
  </si>
  <si>
    <t>F22D5N3(g)</t>
  </si>
  <si>
    <t>F22D5(g)</t>
  </si>
  <si>
    <t>F22D6CN3(g)</t>
  </si>
  <si>
    <t>F22D6N3(g)</t>
  </si>
  <si>
    <t>F22D6(g)</t>
  </si>
  <si>
    <t>F18D1N11_A_F20D1N9(g)</t>
  </si>
  <si>
    <t>F20D1N9_A_F20D1N11(g)</t>
  </si>
  <si>
    <t>F20D4N6_A_F22D1(g)</t>
  </si>
  <si>
    <t>F22D1N9_A_F22D1N11(g)</t>
  </si>
  <si>
    <t>Fatty acid conversion factor for internal use</t>
  </si>
  <si>
    <t>Fatty acids, total</t>
  </si>
  <si>
    <t>Fatty acids, total n-3 polyunsaturated</t>
  </si>
  <si>
    <t>Fatty acids, total n-6 polyunsaturated</t>
  </si>
  <si>
    <t>Fatty acids, total n-9 polyunsaturated</t>
  </si>
  <si>
    <t>Fatty acid, total n-3</t>
  </si>
  <si>
    <t>Fatty acid, total n-6</t>
  </si>
  <si>
    <t>Fatty acid 4:0</t>
  </si>
  <si>
    <t>Fatty acid 6:0</t>
  </si>
  <si>
    <t>Fatty acid 8:0</t>
  </si>
  <si>
    <t>Fatty acid 9:0</t>
  </si>
  <si>
    <t>Fatty acid 10:0</t>
  </si>
  <si>
    <t>Fatty acid 11:0</t>
  </si>
  <si>
    <t>Fatty acid 14:0 iso</t>
  </si>
  <si>
    <t>Fatty acid 15:0 iso</t>
  </si>
  <si>
    <t>Fatty acid 16:0 iso</t>
  </si>
  <si>
    <t>Fatty acid 16:0 anteiso</t>
  </si>
  <si>
    <t>Fatty acid 17:0 iso</t>
  </si>
  <si>
    <t>Fatty acid 17:0 anteiso</t>
  </si>
  <si>
    <t>Fatty acid 19:0</t>
  </si>
  <si>
    <t>Fatty acid 23:0</t>
  </si>
  <si>
    <t>Fatty acid 12:1</t>
  </si>
  <si>
    <t>Fatty acid 14:1 n-9</t>
  </si>
  <si>
    <t>Fatty acid 14:1 n-7</t>
  </si>
  <si>
    <t>Fatty acid 14:1 n-5</t>
  </si>
  <si>
    <t>Fatty acid 14:1 n-3</t>
  </si>
  <si>
    <t>Fatty acid 14:1</t>
  </si>
  <si>
    <t>Fatty acid 15:1 n-9</t>
  </si>
  <si>
    <t>Fatty acid 15:1 n-7</t>
  </si>
  <si>
    <t>Fatty acid 15:1</t>
  </si>
  <si>
    <t>Fatty acid 16:1 n-11</t>
  </si>
  <si>
    <t>Fatty acid 16:1 n-9</t>
  </si>
  <si>
    <t>Fatty acid 16:1 trans n-7</t>
  </si>
  <si>
    <t>Fatty acid 16:1 n-7</t>
  </si>
  <si>
    <t>Fatty acid 17:1 n-9</t>
  </si>
  <si>
    <t>Fatty acid 17:1 n-8</t>
  </si>
  <si>
    <t>Fatty acid 17:1 n-7</t>
  </si>
  <si>
    <t>Fatty acid 17:1 n-5</t>
  </si>
  <si>
    <t>Fatty acid 17:1</t>
  </si>
  <si>
    <t>Fatty acid 18:1 cis n-11</t>
  </si>
  <si>
    <t>Fatty acid 18:1 n-11</t>
  </si>
  <si>
    <t>Fatty acid 18:1 cis n-9</t>
  </si>
  <si>
    <t>Fatty acid 18:1 trans n-9</t>
  </si>
  <si>
    <t>Fatty acid 18:1 n-9</t>
  </si>
  <si>
    <t>Fatty acid 18:1 cis n-7</t>
  </si>
  <si>
    <t>Fatty acid 18:1 n-7</t>
  </si>
  <si>
    <t>Fatty acid 18:1 n-5</t>
  </si>
  <si>
    <t>Fatty acid 18:1 trans</t>
  </si>
  <si>
    <t>Fatty acid 19:1 n-11</t>
  </si>
  <si>
    <t>Fatty acid 19:1 n-9</t>
  </si>
  <si>
    <t>Fatty acid 20:1 cis n-11</t>
  </si>
  <si>
    <t>Fatty acid 20:1 n-11</t>
  </si>
  <si>
    <t>Fatty acid 20:1 n-9</t>
  </si>
  <si>
    <t>Fatty acid 20:1 n-8</t>
  </si>
  <si>
    <t>Fatty acid 20:1 n-7</t>
  </si>
  <si>
    <t>Fatty acid 20:1 trans</t>
  </si>
  <si>
    <t>Fatty acid 22:1 n-11</t>
  </si>
  <si>
    <t>Fatty acid 22:1 n-9</t>
  </si>
  <si>
    <t>Fatty acid 22:1 trans</t>
  </si>
  <si>
    <t>Fatty acid 24:1 n-9</t>
  </si>
  <si>
    <t>Fatty acid 16:2 n-7</t>
  </si>
  <si>
    <t>Fatty acid 16:2 n-6</t>
  </si>
  <si>
    <t>Fatty acid 16:2 n-4</t>
  </si>
  <si>
    <t>Fatty acid 18:2 cis n-6</t>
  </si>
  <si>
    <t>Fatty acid 18:2 trans9, trans12 n6</t>
  </si>
  <si>
    <t>Fatty acid 18:2 trans n-6</t>
  </si>
  <si>
    <t>Fatty acid 18:2 n-6</t>
  </si>
  <si>
    <t>Fatty acid 18:2 n-5</t>
  </si>
  <si>
    <t>Fatty acid 18:2 n-4</t>
  </si>
  <si>
    <t>Fatty acid 18:2 trans</t>
  </si>
  <si>
    <t>Fatty acid 20:2 n-9</t>
  </si>
  <si>
    <t>Fatty acid 20:2 n-6</t>
  </si>
  <si>
    <t>Fatty acid 20:2 cis</t>
  </si>
  <si>
    <t>Fatty acid 22:2 n-6</t>
  </si>
  <si>
    <t>Fatty acid 22:2 cis</t>
  </si>
  <si>
    <t>Fatty acid 16:3 n-4</t>
  </si>
  <si>
    <t>Fatty acid 16:3 n-3</t>
  </si>
  <si>
    <t>Fatty acid 16:3</t>
  </si>
  <si>
    <t>Fatty acid 18:3 cis n-6</t>
  </si>
  <si>
    <t>Fatty acid 18:3 n-6</t>
  </si>
  <si>
    <t>Fatty acid 18:3 n-4</t>
  </si>
  <si>
    <t>Fatty acid 18:3 cis n-3</t>
  </si>
  <si>
    <t>Fatty acid 18:3 trans n-3</t>
  </si>
  <si>
    <t>Fatty acid 18:3 n-3</t>
  </si>
  <si>
    <t>Fatty acid 20:3 n-9</t>
  </si>
  <si>
    <t>Fatty acid 20:3 n-6</t>
  </si>
  <si>
    <t>Fatty acid 20:3 n-3</t>
  </si>
  <si>
    <t>Fatty acid 20:3</t>
  </si>
  <si>
    <t>Fatty acid 22:3 n-6</t>
  </si>
  <si>
    <t>Fatty acid 22:3 n-3</t>
  </si>
  <si>
    <t>Fatty acid 16:4 n-4</t>
  </si>
  <si>
    <t>Fatty acid 16:4 n-3</t>
  </si>
  <si>
    <t>Fatty acid 16:4 n-1</t>
  </si>
  <si>
    <t>Fatty acid 16:4</t>
  </si>
  <si>
    <t>Fatty acid 18:4 n-3</t>
  </si>
  <si>
    <t>Fatty acid 18:4 n-1</t>
  </si>
  <si>
    <t>Fatty acid 18:4</t>
  </si>
  <si>
    <t>Fatty acid 20:4 cis n-6</t>
  </si>
  <si>
    <t>Fatty acid 20:4 n-6</t>
  </si>
  <si>
    <t>Fatty acid 20:4 n-3</t>
  </si>
  <si>
    <t>Fatty acid 20:4</t>
  </si>
  <si>
    <t>Fatty acid 22:4 n-6</t>
  </si>
  <si>
    <t>Fatty acid 22:4 n-3</t>
  </si>
  <si>
    <t>Fatty acid 22:4</t>
  </si>
  <si>
    <t>Fatty acid 20:5 cis n-3</t>
  </si>
  <si>
    <t>Fatty acid 20:5 n-3</t>
  </si>
  <si>
    <t>Fatty acid 20:5</t>
  </si>
  <si>
    <t>Fatty acid 21:5 n-3</t>
  </si>
  <si>
    <t>Fatty acid 21:5</t>
  </si>
  <si>
    <t>Fatty acid 22:5 n-6</t>
  </si>
  <si>
    <t>Fatty acid 22:5 n-3</t>
  </si>
  <si>
    <t>Fatty acid 22:5</t>
  </si>
  <si>
    <t>Fatty acid 22:6 cis n-3</t>
  </si>
  <si>
    <t>Fatty acid 22:6 n-3</t>
  </si>
  <si>
    <t>Fatty acid 22:6</t>
  </si>
  <si>
    <t>Fatty acid 18:1 n-7 + fatty acid 18:1 n-9</t>
  </si>
  <si>
    <t>Fatty acid 18:1 n-11 + fatty acid 20:1 n-9</t>
  </si>
  <si>
    <t>Fatty acid 20:1 n-9 + fatty acid 20:1 n-11</t>
  </si>
  <si>
    <t xml:space="preserve">Fatty acid 20:4 n-6 + fatty acid 22:1 </t>
  </si>
  <si>
    <t>Fatty acid 22:1 n-9 + fatty acid 22:1 n-11</t>
  </si>
  <si>
    <t>[0.43534331]</t>
  </si>
  <si>
    <t>[0.17591878]</t>
  </si>
  <si>
    <t>[0.05455709]</t>
  </si>
  <si>
    <t>[0.01002069]</t>
  </si>
  <si>
    <t>[0.4787663]</t>
  </si>
  <si>
    <t>[0.01447433]</t>
  </si>
  <si>
    <t>[0.08127893]</t>
  </si>
  <si>
    <t>[0.00445364]</t>
  </si>
  <si>
    <t>[0.00222682]</t>
  </si>
  <si>
    <t>[0.11022759]</t>
  </si>
  <si>
    <t>[0.00334023]</t>
  </si>
  <si>
    <t>[0.67583987]</t>
  </si>
  <si>
    <t>[0.02894866]</t>
  </si>
  <si>
    <t>[0.00779387]</t>
  </si>
  <si>
    <t>[0.0222682]</t>
  </si>
  <si>
    <t>[0.10243372]</t>
  </si>
  <si>
    <t>[0.09686667]</t>
  </si>
  <si>
    <t>[0.06346437]</t>
  </si>
  <si>
    <t>[0.15365058]</t>
  </si>
  <si>
    <t>[0.01781456]</t>
  </si>
  <si>
    <t>[0.1670115]</t>
  </si>
  <si>
    <t>[0.39414714]</t>
  </si>
  <si>
    <t>[0.18037242]</t>
  </si>
  <si>
    <t>[0.07682529]</t>
  </si>
  <si>
    <t>[0.0111341]</t>
  </si>
  <si>
    <t>[0.52218929]</t>
  </si>
  <si>
    <t>[0.00668046]</t>
  </si>
  <si>
    <t>[0.07237165]</t>
  </si>
  <si>
    <t>[0.13917625]</t>
  </si>
  <si>
    <t>[0.67695328]</t>
  </si>
  <si>
    <t>[0.03562912]</t>
  </si>
  <si>
    <t>[0.00890728]</t>
  </si>
  <si>
    <t>[0.01892797]</t>
  </si>
  <si>
    <t>[0.11245441]</t>
  </si>
  <si>
    <t>[0.12358851]</t>
  </si>
  <si>
    <t>[0.06012414]</t>
  </si>
  <si>
    <t>[0.10132031]</t>
  </si>
  <si>
    <t>[0.15031035]</t>
  </si>
  <si>
    <t>[0.41864216]</t>
  </si>
  <si>
    <t>[0.19039311]</t>
  </si>
  <si>
    <t>[0.06903142]</t>
  </si>
  <si>
    <t>[0.01336092]</t>
  </si>
  <si>
    <t>[0.4119617]</t>
  </si>
  <si>
    <t>[0.0668046]</t>
  </si>
  <si>
    <t>[0.00556705]</t>
  </si>
  <si>
    <t>[0.12692874]</t>
  </si>
  <si>
    <t>[0.65134485]</t>
  </si>
  <si>
    <t>[0.04564981]</t>
  </si>
  <si>
    <t>[0.01670115]</t>
  </si>
  <si>
    <t>[0.11690805]</t>
  </si>
  <si>
    <t>[0.10577395]</t>
  </si>
  <si>
    <t>[0.0556705]</t>
  </si>
  <si>
    <t>[0.17369196]</t>
  </si>
  <si>
    <t>[0.46985902]</t>
  </si>
  <si>
    <t>[0.1781456]</t>
  </si>
  <si>
    <t>[0.04899004]</t>
  </si>
  <si>
    <t>[0.01224751]</t>
  </si>
  <si>
    <t>[0.39637396]</t>
  </si>
  <si>
    <t>[0.69365443]</t>
  </si>
  <si>
    <t>[0.02449502]</t>
  </si>
  <si>
    <t>[0.10688736]</t>
  </si>
  <si>
    <t>[0.14251648]</t>
  </si>
  <si>
    <t>[0.11579464]</t>
  </si>
  <si>
    <t>[0.03117548]</t>
  </si>
  <si>
    <t>[0.65671766]</t>
  </si>
  <si>
    <t>[0.25730168]</t>
  </si>
  <si>
    <t>[0.07778888]</t>
  </si>
  <si>
    <t>[0.01047158]</t>
  </si>
  <si>
    <t>[0.5684572]</t>
  </si>
  <si>
    <t>[0.01645534]</t>
  </si>
  <si>
    <t>[0.08526858]</t>
  </si>
  <si>
    <t>[0.02094316]</t>
  </si>
  <si>
    <t>[0.00598376]</t>
  </si>
  <si>
    <t>[0.00299188]</t>
  </si>
  <si>
    <t>[0.9424422]</t>
  </si>
  <si>
    <t>[0.0448782]</t>
  </si>
  <si>
    <t>[0.01795128]</t>
  </si>
  <si>
    <t>[0.01346346]</t>
  </si>
  <si>
    <t>[0.1196752]</t>
  </si>
  <si>
    <t>[0.23486258]</t>
  </si>
  <si>
    <t>[0.04787008]</t>
  </si>
  <si>
    <t>[0.26478138]</t>
  </si>
  <si>
    <t>[0.63128668]</t>
  </si>
  <si>
    <t>[0.24832604]</t>
  </si>
  <si>
    <t>[0.0822767]</t>
  </si>
  <si>
    <t>[0.0149594]</t>
  </si>
  <si>
    <t>[0.6208151]</t>
  </si>
  <si>
    <t>[0.01196752]</t>
  </si>
  <si>
    <t>[0.07330106]</t>
  </si>
  <si>
    <t>[0.0074797]</t>
  </si>
  <si>
    <t>[0.21242348]</t>
  </si>
  <si>
    <t>[0.00897564]</t>
  </si>
  <si>
    <t>[0.80182384]</t>
  </si>
  <si>
    <t>[0.0373985]</t>
  </si>
  <si>
    <t>[0.0224391]</t>
  </si>
  <si>
    <t>[0.04338226]</t>
  </si>
  <si>
    <t>[0.12565896]</t>
  </si>
  <si>
    <t>[0.16006558]</t>
  </si>
  <si>
    <t>[0.1047158]</t>
  </si>
  <si>
    <t>[0.17801686]</t>
  </si>
  <si>
    <t>[0.24982198]</t>
  </si>
  <si>
    <t>[0.60735164]</t>
  </si>
  <si>
    <t>[0.23037476]</t>
  </si>
  <si>
    <t>[0.5834166]</t>
  </si>
  <si>
    <t>[0.06432542]</t>
  </si>
  <si>
    <t>[0.00448782]</t>
  </si>
  <si>
    <t>[0.17652092]</t>
  </si>
  <si>
    <t>[0.95440972]</t>
  </si>
  <si>
    <t>[0.05086196]</t>
  </si>
  <si>
    <t>[0.14361024]</t>
  </si>
  <si>
    <t>[0.02543098]</t>
  </si>
  <si>
    <t>[0.06133354]</t>
  </si>
  <si>
    <t>[0.149594]</t>
  </si>
  <si>
    <t>[0.06282948]</t>
  </si>
  <si>
    <t>[0.27525296]</t>
  </si>
  <si>
    <t>[0.70009992]</t>
  </si>
  <si>
    <t>[0.27226108]</t>
  </si>
  <si>
    <t>[0.08078076]</t>
  </si>
  <si>
    <t>[0.56396938]</t>
  </si>
  <si>
    <t>[0.07180512]</t>
  </si>
  <si>
    <t>[0.81678324]</t>
  </si>
  <si>
    <t>[0.02393504]</t>
  </si>
  <si>
    <t>[0.03291068]</t>
  </si>
  <si>
    <t>[0.13762648]</t>
  </si>
  <si>
    <t>[0.04039038]</t>
  </si>
  <si>
    <t>[0.17352904]</t>
  </si>
  <si>
    <t>[0.10022798]</t>
  </si>
  <si>
    <t>[0.18400062]</t>
  </si>
  <si>
    <t>[0.0598376]</t>
  </si>
  <si>
    <t>[0.28273266]</t>
  </si>
  <si>
    <t>0.41.3</t>
  </si>
  <si>
    <t>1.43.1</t>
  </si>
  <si>
    <t>0.30.7</t>
  </si>
  <si>
    <t>1.62.9</t>
  </si>
  <si>
    <t>0.72.2</t>
  </si>
  <si>
    <t>0.160.33</t>
  </si>
  <si>
    <t>0.010.02</t>
  </si>
  <si>
    <t>0.721.25</t>
  </si>
  <si>
    <t>0.10.3</t>
  </si>
  <si>
    <t>0.91.8</t>
  </si>
  <si>
    <t>0.20.5</t>
  </si>
  <si>
    <t>0.61.3</t>
  </si>
  <si>
    <t>0.050.13</t>
  </si>
  <si>
    <t>0.240.48</t>
  </si>
  <si>
    <t>0.10.2</t>
  </si>
  <si>
    <t>0.20.3</t>
  </si>
  <si>
    <t>0.40.7</t>
  </si>
  <si>
    <t>0.020.05</t>
  </si>
  <si>
    <t>0.050.12</t>
  </si>
  <si>
    <t>0.51.8</t>
  </si>
  <si>
    <t>0.20.6</t>
  </si>
  <si>
    <t>0.51.9</t>
  </si>
  <si>
    <t>0.20.8</t>
  </si>
  <si>
    <t>0.010.04</t>
  </si>
  <si>
    <t>0.010.05</t>
  </si>
  <si>
    <t>Component ID</t>
  </si>
  <si>
    <t>Component name</t>
  </si>
  <si>
    <t>Unit</t>
  </si>
  <si>
    <t>Comment</t>
  </si>
  <si>
    <t>where used (number of food group)</t>
  </si>
  <si>
    <t>cereals</t>
  </si>
  <si>
    <t>starchy roots &amp; tubers</t>
  </si>
  <si>
    <t>legumes</t>
  </si>
  <si>
    <t xml:space="preserve"> nuts &amp; seeds</t>
  </si>
  <si>
    <t>vegetables</t>
  </si>
  <si>
    <t>fruits</t>
  </si>
  <si>
    <t>meat</t>
  </si>
  <si>
    <t>eggs</t>
  </si>
  <si>
    <t>finfish</t>
  </si>
  <si>
    <t>milk</t>
  </si>
  <si>
    <t>herbs and spices</t>
  </si>
  <si>
    <t>miscellaneous</t>
  </si>
  <si>
    <t>General description of food</t>
  </si>
  <si>
    <t>The ‘edible portion’ is defined as (100 – refuse), where refuse is the inedible weight as a percent taken away from the “as purchased” or “as acquired” food before analysing the 100g edible part</t>
  </si>
  <si>
    <t>x</t>
  </si>
  <si>
    <t>Macronutrients including energy</t>
  </si>
  <si>
    <t>Energy</t>
  </si>
  <si>
    <t>kJ</t>
  </si>
  <si>
    <t>as in source</t>
  </si>
  <si>
    <t>05, 09</t>
  </si>
  <si>
    <t>kcal</t>
  </si>
  <si>
    <t>Protein</t>
  </si>
  <si>
    <t>Individual amino acids and aggregations</t>
  </si>
  <si>
    <t>AAE-</t>
  </si>
  <si>
    <t>mg</t>
  </si>
  <si>
    <t>AANE</t>
  </si>
  <si>
    <t>Sum of 11 non-essential amino acids: alanine, asparagine, aspartic acid, cysteine, glutamic acid, glycine, hydroxyproline and hydroxylysine, proline, serine, tyrosine</t>
  </si>
  <si>
    <t>AAT-</t>
  </si>
  <si>
    <t>AAT18</t>
  </si>
  <si>
    <t>Sum of 18 amino acids (excluding glutamine and asparagine):alanine, arginine, aspartic acid, cysteine, glutamic acid, glycine, histidine, isoleucine, leucine, lysine, methionine, phenylalanine, proline, serine, threonine, tyrosine and valine.  Asparagine and glutamine are normally included in the values of aspartic acid and glutamic acid, respectively.</t>
  </si>
  <si>
    <t>ALA</t>
  </si>
  <si>
    <t>Includes only L-alanine</t>
  </si>
  <si>
    <t>01, 05, 09</t>
  </si>
  <si>
    <t>ARG</t>
  </si>
  <si>
    <t>Includes only L-arginine</t>
  </si>
  <si>
    <t>01, 09</t>
  </si>
  <si>
    <t>ASP</t>
  </si>
  <si>
    <t>Includes only L-aspartic acid</t>
  </si>
  <si>
    <t>CYS</t>
  </si>
  <si>
    <t>Cysteine is often the natural form, which is converted to cystine during chromatography; includes only the L-amino acid</t>
  </si>
  <si>
    <t>GLN</t>
  </si>
  <si>
    <t>Includes only L-glutamine</t>
  </si>
  <si>
    <t>GLU</t>
  </si>
  <si>
    <t>Includes only L-glutamic acid</t>
  </si>
  <si>
    <t>GLY</t>
  </si>
  <si>
    <t>Includes only L-glycine</t>
  </si>
  <si>
    <t>HIS</t>
  </si>
  <si>
    <t>Includes only L-histidine</t>
  </si>
  <si>
    <t>HYL</t>
  </si>
  <si>
    <t>5-hydroxylysine, non-essential amino acid. Hydroxylysine is found only in animal proteins and mostly in collagens;</t>
  </si>
  <si>
    <t>HYP</t>
  </si>
  <si>
    <t>Includes only L-hydroxyproline</t>
  </si>
  <si>
    <t>ILE</t>
  </si>
  <si>
    <t>Includes only L-isoleucine</t>
  </si>
  <si>
    <t>LEU</t>
  </si>
  <si>
    <t>Includes only L-leucine</t>
  </si>
  <si>
    <t>LYS</t>
  </si>
  <si>
    <t>Includes only L-lysine</t>
  </si>
  <si>
    <t>MET</t>
  </si>
  <si>
    <t>Includes only L-methionine</t>
  </si>
  <si>
    <t>PHE</t>
  </si>
  <si>
    <t>Includes only L-phenylalanine</t>
  </si>
  <si>
    <t>PRO</t>
  </si>
  <si>
    <t>Includes only L-proline</t>
  </si>
  <si>
    <t>SER</t>
  </si>
  <si>
    <t>Includes only L-serine</t>
  </si>
  <si>
    <t>TAU</t>
  </si>
  <si>
    <t>Non-protein amino acid with sulfonic acid group</t>
  </si>
  <si>
    <t>THR</t>
  </si>
  <si>
    <t>Includes only L-threonine</t>
  </si>
  <si>
    <t>TRP</t>
  </si>
  <si>
    <t>Includes only L-tryptophan</t>
  </si>
  <si>
    <t>TYR</t>
  </si>
  <si>
    <t>Includes only L-tyrosine</t>
  </si>
  <si>
    <t>VAL</t>
  </si>
  <si>
    <t>Includes only L-valine</t>
  </si>
  <si>
    <t>Sum of cystine + methionine</t>
  </si>
  <si>
    <t>ASN_A_ASP</t>
  </si>
  <si>
    <t>GLN_A_GLU</t>
  </si>
  <si>
    <t>Glutamine + gluamic acid</t>
  </si>
  <si>
    <t>Nitrogen and protein expressions, conversion factors</t>
  </si>
  <si>
    <t>NNP</t>
  </si>
  <si>
    <t>NT</t>
  </si>
  <si>
    <t>g</t>
  </si>
  <si>
    <t>Determined by Kjeldahl and similar methods</t>
  </si>
  <si>
    <t>Calculated by multiplying the protein nitrogen value (NPRO) by the nitrogen conversion factor (XN)</t>
  </si>
  <si>
    <t>Generic factor equals 6.25</t>
  </si>
  <si>
    <t xml:space="preserve">Fat, fatty acids, fatty acid conversion factor </t>
  </si>
  <si>
    <t>FAT</t>
  </si>
  <si>
    <t>Sum of triglycerides, phospholipids, sterols and related compounds; the analytical method is a mixed solvent extraction</t>
  </si>
  <si>
    <t>FATCE</t>
  </si>
  <si>
    <t>The Soxhlet method has often been used to analyze for total fat using continuous extraction. This method tends to underestimate the total fat value of a food</t>
  </si>
  <si>
    <t>FAT-</t>
  </si>
  <si>
    <t>TGLY</t>
  </si>
  <si>
    <t>Fatty acids</t>
  </si>
  <si>
    <t>F4D0</t>
  </si>
  <si>
    <t xml:space="preserve">Tetranoic acid. Saturated fatty acid with 4 carbons. </t>
  </si>
  <si>
    <t>F6D0</t>
  </si>
  <si>
    <t xml:space="preserve">Hexanoic acid. Saturated fatty acid with 6 carbons. </t>
  </si>
  <si>
    <t>F8D0</t>
  </si>
  <si>
    <t xml:space="preserve">Octanoic acid. Saturated fatty acid with 8 carbons. </t>
  </si>
  <si>
    <t>F9D0</t>
  </si>
  <si>
    <t>F10D0</t>
  </si>
  <si>
    <t>Decanoic acid. Saturated fatty acid with 10 carbons</t>
  </si>
  <si>
    <t>F11D0</t>
  </si>
  <si>
    <t>Saturated fatty acid with 11 carbons</t>
  </si>
  <si>
    <t>F12D0</t>
  </si>
  <si>
    <t>Dodecanoic acid. Saturated fatty acid with 12 carbons. Lauric Acid</t>
  </si>
  <si>
    <t>F13D0</t>
  </si>
  <si>
    <t>Tridecanoic Acid. Saturated fatty acid with 13 carbons</t>
  </si>
  <si>
    <t>F14D0</t>
  </si>
  <si>
    <t>Tetradecanoic acid. A saturated fatty acids with 14 carbons</t>
  </si>
  <si>
    <t>F14D0I</t>
  </si>
  <si>
    <t>F15D0</t>
  </si>
  <si>
    <t>Pentadecanoic Acid. Saturated fatty acid with 15 carbons</t>
  </si>
  <si>
    <t>F15D0I</t>
  </si>
  <si>
    <t>F16D0</t>
  </si>
  <si>
    <t>Hexadecanoic acid. Saturated fatty acid with 16 carbons</t>
  </si>
  <si>
    <t>F16D0I</t>
  </si>
  <si>
    <t>F16D0AI</t>
  </si>
  <si>
    <t>F17D0</t>
  </si>
  <si>
    <t>Heptadecanoic Acid. Saturated fatty acid with 17 carbons</t>
  </si>
  <si>
    <t>F17D0I</t>
  </si>
  <si>
    <t>F17D0AI</t>
  </si>
  <si>
    <t>F18D0</t>
  </si>
  <si>
    <t>Octadecanoic Acid. Saturated fatty acid with 18 carbons</t>
  </si>
  <si>
    <t>F19D0</t>
  </si>
  <si>
    <t>Nonadecanoic Acid. Saturated fatty acid with 19 carbons</t>
  </si>
  <si>
    <t>F20D0</t>
  </si>
  <si>
    <t>Icosanoic acid. Saturated fatty acid with 20 carbons</t>
  </si>
  <si>
    <t>F21D0</t>
  </si>
  <si>
    <t>F22D0</t>
  </si>
  <si>
    <t>Docosanoic acid</t>
  </si>
  <si>
    <t>F23D0</t>
  </si>
  <si>
    <t>Tricosanoic acid</t>
  </si>
  <si>
    <t>F24D0</t>
  </si>
  <si>
    <t>Tetracosanoic acid. Saturated fatty acid with 24 carbons</t>
  </si>
  <si>
    <t>F12D1</t>
  </si>
  <si>
    <t>Dodecenoic Acid. A monounsaturated fatty acids with 12 carbons</t>
  </si>
  <si>
    <t>F14D1N9</t>
  </si>
  <si>
    <t>5-Tetradecenoic Acid. Monounsaturated fatty acid with 14 carbons and 1 double bond at the 9th carbon from the methyl end</t>
  </si>
  <si>
    <t>F14D1N7</t>
  </si>
  <si>
    <t>7-Tetradecenoic Acid. Monounsaturated fatty acid with 14 carbons and 1 double bond at the 7th carbon from the methyl end</t>
  </si>
  <si>
    <t>F14D1N5</t>
  </si>
  <si>
    <t>9-Tetradecenoic Acid. Monounsaturated fatty acid with 14 carbons and 1 double bond at the 5th carbon from the methyl end</t>
  </si>
  <si>
    <t>F14D1N3</t>
  </si>
  <si>
    <t>F14D1</t>
  </si>
  <si>
    <t>Tetradecenoic Acid.  A monounsaturated fatty acids with 14 carbons</t>
  </si>
  <si>
    <t>F15D1N9</t>
  </si>
  <si>
    <t>Pentadecenoic Acid n-9. Monounsaturated fatty acid with 15 carbons and the double bond at the 9th carbon from the methyl end</t>
  </si>
  <si>
    <t>F15D1N7</t>
  </si>
  <si>
    <t>F15D1</t>
  </si>
  <si>
    <t>Pentadecenoic Acid. A monounsaturated fatty acids with 15 carbons</t>
  </si>
  <si>
    <t>F16D1N11</t>
  </si>
  <si>
    <t>F16D1N9</t>
  </si>
  <si>
    <t>7-cis-Hexadecenoic Acid. Monounsaturated fatty acid with 16 carbons and the double bond at the 9th carbon from the methyl end</t>
  </si>
  <si>
    <t>F16D1TN7</t>
  </si>
  <si>
    <t>trans-9-hexadecenoic acid. Monounsaturated fatty acid with 16 carbons and a trans double bond at the 7th carbon from the methyl end</t>
  </si>
  <si>
    <t>F16D1N7</t>
  </si>
  <si>
    <t>9-Hexadecenoic Acid. Monounsaturated fatty acid with 16 carbons and the double bond at the 7th carbon from the methyl end</t>
  </si>
  <si>
    <t>F16D1</t>
  </si>
  <si>
    <t>Fatty acid 16: 1</t>
  </si>
  <si>
    <t>Hexadecenoic Acid. A monounsaturated fatty acids with 16 carbons with unknown isomer</t>
  </si>
  <si>
    <t>F17D1N9</t>
  </si>
  <si>
    <t>F17D1N8</t>
  </si>
  <si>
    <t>F17D1N7</t>
  </si>
  <si>
    <t>F17D1N5</t>
  </si>
  <si>
    <t>F17D1</t>
  </si>
  <si>
    <t>Heptadecenoic Acid. A class of monounsaturated fatty acids with 17 carbons</t>
  </si>
  <si>
    <t>F18D1CN11</t>
  </si>
  <si>
    <t>F18D1N11</t>
  </si>
  <si>
    <t>F18D1CN9</t>
  </si>
  <si>
    <t>cis-9-Octadecenoic acid. Monounsaturated fatty acid with 18 carbons and cis double bond at the 9th carbon from the methyl end</t>
  </si>
  <si>
    <t>F18D1TN9</t>
  </si>
  <si>
    <t>trans-9-Octadecenoic acid. Monounsaturated fatty acid with 18 carbons and the double bond in the trans formation at the 9th carbon from the methyl end</t>
  </si>
  <si>
    <t>F18D1N9</t>
  </si>
  <si>
    <t>Monounsaturated fatty acid with 18 carbons and double bond at the 9th carbon from the methyl end</t>
  </si>
  <si>
    <t>F18D1CN7</t>
  </si>
  <si>
    <t>F18D1N7</t>
  </si>
  <si>
    <t>F18D1N5</t>
  </si>
  <si>
    <t>F18D1T</t>
  </si>
  <si>
    <t>trans-Octadecenoic acid. Monounsaturated fatty acid with 18 carbons and the double bond in the trans formation</t>
  </si>
  <si>
    <t>F18D1</t>
  </si>
  <si>
    <t>Octadecenoic Acid. A class of monounsaturated fatty acids with 18 carbons</t>
  </si>
  <si>
    <t>F19D1N11</t>
  </si>
  <si>
    <t>F19D1N9</t>
  </si>
  <si>
    <t>F20D1N11</t>
  </si>
  <si>
    <t>(9Z)-icos-9-enoic acid or icosenoic Acid n-11. Monounsaturated fatty acid with 20 carbons and the double bond at the 11th carbon from the methyl end</t>
  </si>
  <si>
    <t>F20D1N9</t>
  </si>
  <si>
    <t>Icosenoic Acid n-9. Monounsaturated fatty acid with 20 carbons and the double bond at the 9th carbon from the methyl end</t>
  </si>
  <si>
    <t>F20D1N8</t>
  </si>
  <si>
    <t>F20D1N7</t>
  </si>
  <si>
    <t>Icosenoic Acid n-7. Monounsaturated fatty acid with 20 carbons and the double bond at the 7th carbon from the methyl end</t>
  </si>
  <si>
    <t>F20D1T</t>
  </si>
  <si>
    <t>F20D1</t>
  </si>
  <si>
    <t>Icosenoic Acid. A class of monounsaturated fatty acids with 20 carbons</t>
  </si>
  <si>
    <t>F22D1N11</t>
  </si>
  <si>
    <t>F22D1N9</t>
  </si>
  <si>
    <t>Docosenoic Acid n-9. A class of monounsaturated fatty acids with 22 carbons and the double bond at the 9th carbon from the methyl end</t>
  </si>
  <si>
    <t>F22D1T</t>
  </si>
  <si>
    <t>F22D1</t>
  </si>
  <si>
    <t>Docosenoic Acid. A class of monounsaturated fatty acids with 22 carbons</t>
  </si>
  <si>
    <t>F24D1N9</t>
  </si>
  <si>
    <t>F24D1</t>
  </si>
  <si>
    <t>Tetracosenoic acid. A class of monounsaturated fatty acids with 24 carbons</t>
  </si>
  <si>
    <t>F16D2N7</t>
  </si>
  <si>
    <t>Hexadecadienoic Acid n-7. Polyunsaturated fatty acid with 16 carbons and 2 double bonds at the 7th and 10th carbons from the methyl end</t>
  </si>
  <si>
    <t>F16D2N6</t>
  </si>
  <si>
    <t>F16D2N4</t>
  </si>
  <si>
    <t>Hexadecadienoic Acid n-4. Polyunsaturated fatty acid with 16 carbons and 2 double bonds at the 4th and 7th carbons from the methyl end</t>
  </si>
  <si>
    <t>F16D2</t>
  </si>
  <si>
    <t>Hexadecadienoic Acid. A polyunsaturated fatty acids with 16 carbons and 2 double bonds</t>
  </si>
  <si>
    <t>F18D2TTN6</t>
  </si>
  <si>
    <t>Fatty acid 18:2 trans, trans n-6</t>
  </si>
  <si>
    <t>F18D2CN6</t>
  </si>
  <si>
    <t>cis,cis-9,12-Octadecadienoic Acid. Polyunsaturated fatty acid with 18 carbons and 2 double bonds at the 6th and 9th carbons from the methyl end</t>
  </si>
  <si>
    <t>F18D2TN6</t>
  </si>
  <si>
    <t>Octadecadienoic Acid n-6 trans. Polyunsaturated fatty acid with 18 carbons and 2 double bonds at the 6th and 9th carbons from the methyl end, with one in trans</t>
  </si>
  <si>
    <t>F18D2N6</t>
  </si>
  <si>
    <t>F18D2N5</t>
  </si>
  <si>
    <t>F18D2N4</t>
  </si>
  <si>
    <t>Octadecadienoic Acid n-4. Polyunsaturated fatty acid with 18 carbons and 2 double bonds at the 4th and 7th carbons from the methyl end</t>
  </si>
  <si>
    <t>F18D2T</t>
  </si>
  <si>
    <t>F18D2</t>
  </si>
  <si>
    <t xml:space="preserve">Octadecadienoic Acid. A class of polyunsaturated fatty acids with 18 carbons and 2 double bonds. </t>
  </si>
  <si>
    <t>F20D2N9</t>
  </si>
  <si>
    <t>F20D2N6</t>
  </si>
  <si>
    <t>Icosadienoic Acid n-6. Polyunsaturated fatty acid with 20 carbons and 2 double bonds at the 6th and 9th carbons from the methyl end</t>
  </si>
  <si>
    <t>F20D2C</t>
  </si>
  <si>
    <t>F20D2</t>
  </si>
  <si>
    <t>Icosadienoic Acid. A class of polyunsaturated fatty acids with 20 carbons and 2 double bonds</t>
  </si>
  <si>
    <t>F22D2N6</t>
  </si>
  <si>
    <t>F22D2C</t>
  </si>
  <si>
    <t>F22D2</t>
  </si>
  <si>
    <t>Docosadienoic Acid. A class of polyunsaturated fatty acids with 22 carbons and 2 double bonds</t>
  </si>
  <si>
    <t>F16D3N4</t>
  </si>
  <si>
    <t>Hexadecatrienoic Acid n-4. Polyunsaturated fatty acid with 16 carbons and 3 double bonds at the 4th, 7th, and 10th carbons from the methyl end</t>
  </si>
  <si>
    <t>F16D3N3</t>
  </si>
  <si>
    <t>Hexadecatrienoic Acid n-3. Polyunsaturated fatty acid with 16 carbons and 3 double bonds at the 3rd, 6th, and 9th carbons from the methyl end</t>
  </si>
  <si>
    <t>F16D3</t>
  </si>
  <si>
    <t xml:space="preserve">Hexadecatrienoic Acid. A polyunsaturated fatty acids with 16 carbons and 3 double bonds. </t>
  </si>
  <si>
    <t>F18D3CN6</t>
  </si>
  <si>
    <t>cis,cis,cis-6,9,12-Octadecatrienoic Acid. Polyunsaturated fatty acid with 18 carbons and 3 cis double bonds at the 6th, 9th and 12th carbons from the methyl end</t>
  </si>
  <si>
    <t>F18D3N6</t>
  </si>
  <si>
    <t>F18D3N4</t>
  </si>
  <si>
    <t>F18D3CN3</t>
  </si>
  <si>
    <t>cis,cis,cis-9,12,15-Octadecatrienoic Acid. Polyunsaturated fatty acid with 18 carbons and 3 cis double bonds at the 3rd, 6th, and 9th carbons from the methyl end</t>
  </si>
  <si>
    <t>F18D3TN3</t>
  </si>
  <si>
    <t>F18D3N3</t>
  </si>
  <si>
    <t>9,12,15-Octadecatrienoic Acid. Polyunsaturated fatty acid with 18 carbons and 3 double bonds at the 3rd, 6th, and 9th carbons from the methyl end</t>
  </si>
  <si>
    <t>F18D3</t>
  </si>
  <si>
    <t>Octadecatrienoic Acid. A class of polyunsaturated fatty acids with 18 carbons and 3 double bonds</t>
  </si>
  <si>
    <t>F20D3N9</t>
  </si>
  <si>
    <t>5,8,11-icosatrienoic Acid or icosatrienoic Acid n-9. Polyunsaturated fatty acid with 20 carbons and 3 double bonds at the 9th, 12th, and 15th carbon from the methyl end</t>
  </si>
  <si>
    <t>F20D3N6</t>
  </si>
  <si>
    <t>Eicosatrienoic Acid n-6 or homogammalinolenic acid</t>
  </si>
  <si>
    <t>F20D3N3</t>
  </si>
  <si>
    <t>Icosatrienoic Acid n-3. Polyunsaturated fatty acid with 20 carbons and 3 double bonds at the 3rd, 6th, and 9th carbons from the methyl end</t>
  </si>
  <si>
    <t>F20D3</t>
  </si>
  <si>
    <t>Icosatrienoic Acid. A class of polyunsaturated fatty acids with 20 carbons and 3 double bonds</t>
  </si>
  <si>
    <t>F22D3N6</t>
  </si>
  <si>
    <t>F22D3N3</t>
  </si>
  <si>
    <t>F16D4N4</t>
  </si>
  <si>
    <t>Hexadecatetraenoic Acid n-4. Polyunsaturated fatty acid with 16 carbons and 4 double bonds at the 4th, 7th, 10th, and 13th carbons from the methyl end.</t>
  </si>
  <si>
    <t>F16D4N3</t>
  </si>
  <si>
    <t>F16D4N1</t>
  </si>
  <si>
    <t>Hexadecatetraenoic Acid n-1. Polyunsaturated fatty acid with 16 carbons and 4 double bonds at the 1st, 4th, 7th and 10th carbons from the methyl end</t>
  </si>
  <si>
    <t>F16D4</t>
  </si>
  <si>
    <t>Hexadecatetraenoic Acid. A class of polyunsaturated fatty acids with 16 carbons and 4 double bonds</t>
  </si>
  <si>
    <t>F18D4N3</t>
  </si>
  <si>
    <t>Parinaric Acid n-3. Polyunsaturated fatty acid with 18 carbons and 4 double bonds at the 3rd, 6th, 9th, and 12th carbons from the methyl end</t>
  </si>
  <si>
    <t>F18D4N1</t>
  </si>
  <si>
    <t>F18D4</t>
  </si>
  <si>
    <t>Octadecatetraenoic Acid. A class of fatty acids with 18 carbons and 4 double bonds</t>
  </si>
  <si>
    <t>F20D4CN6</t>
  </si>
  <si>
    <t>F20D4N6</t>
  </si>
  <si>
    <t>5,8,11,14-Icosatetraenoic Acid or icosatetraenoic Acid n-6. Polyunsaturated fatty acid with 20 carbons and 4 double bonds at the 5th, 8th, 11th and 14th carbons from the methyl end</t>
  </si>
  <si>
    <t>F20D4N3</t>
  </si>
  <si>
    <t>Icosatetraenoic Acid n-3. Polyunsaturated fatty acid with 20 carbons and 4 double bonds at the 3rd, 6th, 9th, and 12th carbons from the methyl end</t>
  </si>
  <si>
    <t>F20D4</t>
  </si>
  <si>
    <t>Icosatetraenoic Acid. A class of polyunsaturated fatty acids with 20 carbons and 4 double bonds</t>
  </si>
  <si>
    <t>F22D4N6</t>
  </si>
  <si>
    <t>F22D4N3</t>
  </si>
  <si>
    <t>Docosatetraenoic Acid n-3. Polyunsaturated fatty acid with 22 carbons and 4 double bonds at the 3rd, 6th, 9th and 12th carbons from the methyl end</t>
  </si>
  <si>
    <t>F22D4</t>
  </si>
  <si>
    <t>Docosatetraenoic Acid. A class of polyunsaturated fatty acids with 22 carbons and 4 double bonds</t>
  </si>
  <si>
    <t>F20D5CN3</t>
  </si>
  <si>
    <t>F20D5N3</t>
  </si>
  <si>
    <t>Icosapentaenoic Acid n-3; EPA. Polyunsaturated fatty acid with 20 carbons and 5 double bonds at the 3rd, 6th, 9th, 12th and 15th carbons from the methyl end</t>
  </si>
  <si>
    <t>F20D5</t>
  </si>
  <si>
    <t>F21D5N3</t>
  </si>
  <si>
    <t>Polyunsaturated fatty acid with 21 carbons and 5 double bonds at the 3rd, 6th, 9th, 12th and 15th carbons from the methyl end</t>
  </si>
  <si>
    <t>F21D5</t>
  </si>
  <si>
    <t xml:space="preserve">A class of polyunsaturated fatty acids with 21 carbons and 5 double bonds. </t>
  </si>
  <si>
    <t>F22D5N6</t>
  </si>
  <si>
    <t>Docosapentaenoic Acid n-6. Polyunsaturated fatty acid with 22 carbons and 5 double bonds at the 6th, 9th, 12th, 15th and 18th carbons from the methyl end</t>
  </si>
  <si>
    <t>F22D5N3</t>
  </si>
  <si>
    <t>Docosapentaenoic Acid n-3. Polyunsaturated fatty acid with 22 carbons and 5 double bonds at the 3rd, 6th, 9th, 12th, and 15th carbon from the methyl end</t>
  </si>
  <si>
    <t>F22D5</t>
  </si>
  <si>
    <t>Docosapentaenoic Acid. A class of polyunsaturated fatty acids with 22 carbons and 5 double bonds</t>
  </si>
  <si>
    <t>F22D6CN3</t>
  </si>
  <si>
    <t>F22D6N3</t>
  </si>
  <si>
    <t>Docosahexaenoic Acid n-3; DHA. Polyunsaturated fatty acid with 22 carbons and 6 double bonds at the 3rd, 6th, 9th, 12th, 15th and 18th carbons from the methyl end</t>
  </si>
  <si>
    <t>F22D6</t>
  </si>
  <si>
    <t>Docosahexaenoic Acid. A class of polyunsaturated fatty acids with 22 carbons and 6 double bonds</t>
  </si>
  <si>
    <t>F18D1N7_A_F18D1N9</t>
  </si>
  <si>
    <t>F18D1N11_A_F20D1N9</t>
  </si>
  <si>
    <t>F20D1N9_A_F20D1N11</t>
  </si>
  <si>
    <t>F20D4N6_A_F22D1</t>
  </si>
  <si>
    <t>F22D1N9_A_F22D1N11</t>
  </si>
  <si>
    <t>FACID</t>
  </si>
  <si>
    <t>FASAT</t>
  </si>
  <si>
    <t>FAMS</t>
  </si>
  <si>
    <t>FAPU</t>
  </si>
  <si>
    <t>FATRN</t>
  </si>
  <si>
    <t>FAUN</t>
  </si>
  <si>
    <t>FAPUN9</t>
  </si>
  <si>
    <t>A class of polyunsaturated fatty acids with the first double bond at the 9th carbon from the methyl end</t>
  </si>
  <si>
    <t>FAPUN6</t>
  </si>
  <si>
    <t>A class of polyunsaturated fatty acids with the first double bond at the 6th carbon from the methyl end</t>
  </si>
  <si>
    <t>FAPUN3</t>
  </si>
  <si>
    <t>A class of polyunsaturated fatty acids with the first double bond at the 3rd carbon from the methyl end</t>
  </si>
  <si>
    <t>FAN6</t>
  </si>
  <si>
    <t>A class of fatty acids with the first double bond (mono and polyunsaturated FA) at the 6th carbon from the methyl end</t>
  </si>
  <si>
    <t>FAN3</t>
  </si>
  <si>
    <t>A class of fatty acids with the first double bond (mono and polyunsaturated FA) at the 3rd carbon from the methyl end</t>
  </si>
  <si>
    <t>FAFRE</t>
  </si>
  <si>
    <t>Fat components</t>
  </si>
  <si>
    <t>DGLY</t>
  </si>
  <si>
    <t>Phospholipids</t>
  </si>
  <si>
    <t>PHOLIP</t>
  </si>
  <si>
    <t>Carbohydrates, carbohydrate fractions</t>
  </si>
  <si>
    <t>CHOAVLDF</t>
  </si>
  <si>
    <t>This value is calculated: 100 g minus total grams of water, protein, fat, alcohol, ash and dietary fibre; or CHOCDF – dietary fibre</t>
  </si>
  <si>
    <t>This value is calculated: 100 g minus total grams of water, protein, fat, alcohol and ash</t>
  </si>
  <si>
    <t>CHO-</t>
  </si>
  <si>
    <t>Sugars</t>
  </si>
  <si>
    <t>SUGAR</t>
  </si>
  <si>
    <t>Sugars, total</t>
  </si>
  <si>
    <t>Sum of free monosaccharides and disaccharides</t>
  </si>
  <si>
    <t>Monosaccharides</t>
  </si>
  <si>
    <t>GLUS</t>
  </si>
  <si>
    <t>D-glucose only; includes only the free monosaccharide</t>
  </si>
  <si>
    <t>Disaccharides</t>
  </si>
  <si>
    <t>SUCS</t>
  </si>
  <si>
    <t>Saccharose</t>
  </si>
  <si>
    <t>Polysaccharides</t>
  </si>
  <si>
    <t>AMYS</t>
  </si>
  <si>
    <t>GLYC</t>
  </si>
  <si>
    <t>Dietary fibre, fibre, dietary fibre fractions</t>
  </si>
  <si>
    <t>FIBTG</t>
  </si>
  <si>
    <t>Sum of non-starch polysaccharides, lignin, part of resistant starch and resistant oligosaccharides. This is equivalent to the sum of &lt;FIBSOL&gt; and &lt;FIBINS&gt;</t>
  </si>
  <si>
    <t>FIBC</t>
  </si>
  <si>
    <t>The crude fibre method of fibre analysis is obsolete</t>
  </si>
  <si>
    <t>FIB-</t>
  </si>
  <si>
    <t>WATER</t>
  </si>
  <si>
    <t>Includes all methods except freeze drying</t>
  </si>
  <si>
    <t>DM</t>
  </si>
  <si>
    <t>Ash and other solids</t>
  </si>
  <si>
    <t>ASH</t>
  </si>
  <si>
    <t>Organic acids</t>
  </si>
  <si>
    <t>OXALAC</t>
  </si>
  <si>
    <t>PHYTAC</t>
  </si>
  <si>
    <t>Minerals and trace elements</t>
  </si>
  <si>
    <t>AG</t>
  </si>
  <si>
    <t>mcg</t>
  </si>
  <si>
    <t>Includes both elemental and ionic forms</t>
  </si>
  <si>
    <t>AL</t>
  </si>
  <si>
    <t>BA</t>
  </si>
  <si>
    <t>BRD</t>
  </si>
  <si>
    <t>CA</t>
  </si>
  <si>
    <t>CLD</t>
  </si>
  <si>
    <t>CO</t>
  </si>
  <si>
    <t>CR</t>
  </si>
  <si>
    <t>CU</t>
  </si>
  <si>
    <t>FE</t>
  </si>
  <si>
    <t>Includes elemental and both ionic forms; includes haem and non-haem iron</t>
  </si>
  <si>
    <t>ID</t>
  </si>
  <si>
    <t>K</t>
  </si>
  <si>
    <t>MG</t>
  </si>
  <si>
    <t>MN</t>
  </si>
  <si>
    <t>MO</t>
  </si>
  <si>
    <t>NA</t>
  </si>
  <si>
    <t>NACL</t>
  </si>
  <si>
    <t>NI</t>
  </si>
  <si>
    <t>P</t>
  </si>
  <si>
    <t>RB</t>
  </si>
  <si>
    <t>S</t>
  </si>
  <si>
    <t>TI</t>
  </si>
  <si>
    <t>V</t>
  </si>
  <si>
    <t>ZN</t>
  </si>
  <si>
    <t>Heavy metals and contaminants</t>
  </si>
  <si>
    <t>AS</t>
  </si>
  <si>
    <t>CD</t>
  </si>
  <si>
    <t>HG</t>
  </si>
  <si>
    <t>PB</t>
  </si>
  <si>
    <t>SN</t>
  </si>
  <si>
    <t>SR</t>
  </si>
  <si>
    <t>Vitamins</t>
  </si>
  <si>
    <t>Fat-soluble vitamins</t>
  </si>
  <si>
    <t>Vitamin A, retinol</t>
  </si>
  <si>
    <t>VITA_RAE</t>
  </si>
  <si>
    <t>Vitamin A retinol activity equivalent (RAE); calculated by summation of the vitamin A activities of retinol and the active carotenoids</t>
  </si>
  <si>
    <t>Total vitamin A in retinol activity equivalent (RAE) = mcg retinol + 1/12 mcg beta-carotene + 1/24 mcg  a-carotene + 1/24 b-cryptoxanthin</t>
  </si>
  <si>
    <t>VITA</t>
  </si>
  <si>
    <t>Total vitamin A = mcg retinol + 1/6 mcg beta-carotene + 1/12 mcg  a-carotene + 1/12 b-cryptoxanthin</t>
  </si>
  <si>
    <t>RETOL</t>
  </si>
  <si>
    <t>All-trans retinol only</t>
  </si>
  <si>
    <t>RETOLDH</t>
  </si>
  <si>
    <t>RETOL13</t>
  </si>
  <si>
    <t>VITA-</t>
  </si>
  <si>
    <t>Vitamin A; method of determination unknown</t>
  </si>
  <si>
    <t>Carotenoids</t>
  </si>
  <si>
    <t>CARTA</t>
  </si>
  <si>
    <t>All-trans alpha-carotene only</t>
  </si>
  <si>
    <t>CARTB</t>
  </si>
  <si>
    <t>All-trans beta-carotene only</t>
  </si>
  <si>
    <t>CARTBCIS</t>
  </si>
  <si>
    <t>beta-Carotene cis</t>
  </si>
  <si>
    <t>CARTBEQ</t>
  </si>
  <si>
    <t>beta-Carotene equivalents</t>
  </si>
  <si>
    <t>This value is the sum of the beta-carotene plus ½ the quantity of the other carotenoids with vitamin A activity</t>
  </si>
  <si>
    <t>LUTN</t>
  </si>
  <si>
    <t>NEOX</t>
  </si>
  <si>
    <t>VIOLX</t>
  </si>
  <si>
    <t>Violaxanthin</t>
  </si>
  <si>
    <t>Vitamin D</t>
  </si>
  <si>
    <t>CHOCAL</t>
  </si>
  <si>
    <t>Naturally occurring form</t>
  </si>
  <si>
    <t>ERGSTR</t>
  </si>
  <si>
    <t>Vitamin E</t>
  </si>
  <si>
    <t>TOCPHA</t>
  </si>
  <si>
    <t>VITE-</t>
  </si>
  <si>
    <t>Vitamin E; method or determination unknown or variable</t>
  </si>
  <si>
    <t>Water-soluble vitamins</t>
  </si>
  <si>
    <t>Thiamin (vitamin B1)</t>
  </si>
  <si>
    <t>THIA</t>
  </si>
  <si>
    <t>Riboflavin (vitamin B2)</t>
  </si>
  <si>
    <t>RIBF</t>
  </si>
  <si>
    <t>Folate</t>
  </si>
  <si>
    <t>FOL</t>
  </si>
  <si>
    <t>Microbiological method; includes both conjugated and free folate</t>
  </si>
  <si>
    <t>FOL-</t>
  </si>
  <si>
    <t>Folate; method unknown or variable</t>
  </si>
  <si>
    <t>Niacin</t>
  </si>
  <si>
    <t>NIA</t>
  </si>
  <si>
    <t>Nicotinic acid + nicotinamide</t>
  </si>
  <si>
    <t>NIA-</t>
  </si>
  <si>
    <t>PANTAC</t>
  </si>
  <si>
    <t>Vitamin B6</t>
  </si>
  <si>
    <t>VITB6A</t>
  </si>
  <si>
    <t>VITB6-</t>
  </si>
  <si>
    <t>Vitamin B-6, method unknown or variable</t>
  </si>
  <si>
    <t>PYRXN</t>
  </si>
  <si>
    <t>Vitamin B6 alcohol form</t>
  </si>
  <si>
    <t>Pyridoxine HCl</t>
  </si>
  <si>
    <t>Vitamin B12</t>
  </si>
  <si>
    <t>VITB12</t>
  </si>
  <si>
    <t>Includes all the active forms of vitamin B-12 in food</t>
  </si>
  <si>
    <t>Vitamin C</t>
  </si>
  <si>
    <t>VITC</t>
  </si>
  <si>
    <t>L-ascorbic acid + L-dehydroascorbic acid</t>
  </si>
  <si>
    <t>ASCL</t>
  </si>
  <si>
    <t>ASCDL</t>
  </si>
  <si>
    <t>VITC-</t>
  </si>
  <si>
    <t>Vitamin C; method unknown or variable</t>
  </si>
  <si>
    <t>Sterols</t>
  </si>
  <si>
    <t>STERT</t>
  </si>
  <si>
    <t xml:space="preserve">Non-specific colorimetric method or sum of cholesterol and phytosterols </t>
  </si>
  <si>
    <t>Plant sterols</t>
  </si>
  <si>
    <t>BRASTR</t>
  </si>
  <si>
    <t>CAMT</t>
  </si>
  <si>
    <t>SAPON</t>
  </si>
  <si>
    <t>Saponins</t>
  </si>
  <si>
    <t>SITSTR</t>
  </si>
  <si>
    <t>Beta-sitosterol only</t>
  </si>
  <si>
    <t>SQUAL</t>
  </si>
  <si>
    <t>STGSTR</t>
  </si>
  <si>
    <t>Cholesterol</t>
  </si>
  <si>
    <t>CHOLE</t>
  </si>
  <si>
    <t>CHOL-</t>
  </si>
  <si>
    <t>Bioactive constituents</t>
  </si>
  <si>
    <t>Flavonoids</t>
  </si>
  <si>
    <t>Flavonols</t>
  </si>
  <si>
    <t>ISOHA</t>
  </si>
  <si>
    <t>KAEMF</t>
  </si>
  <si>
    <t>QUERCE</t>
  </si>
  <si>
    <t>Tannins</t>
  </si>
  <si>
    <t>TAN</t>
  </si>
  <si>
    <t>Tannins, total</t>
  </si>
  <si>
    <t>Bibliography</t>
  </si>
  <si>
    <t>Booth, S., Bressani, R., Johns, T. Nutrient content of selected indigenous leafy vegetables consumed by the Kekchi people of Alta Verapaz, Guatemala (1992) Journal of Food composition and analysis, 5, pp 25-34</t>
  </si>
  <si>
    <t>Sreeramulu, G., Ndossi, D, G., Mtotomwema. Effect of cooking on the nutritive value of common food plants of Tanzania: Part 1 - Vitamin C in some of the Wild Green leafy vegetables (1983) Food chemistry 10, pp 205-210</t>
  </si>
  <si>
    <t>Oboh G. Effect of blanching on the antioxidant properties of some tropical green leafy vegetables (2005) Swiss society of food science and technology 38, pp 513-517</t>
  </si>
  <si>
    <t>Nagra, A, S., Khan, S. Vitamin A (Beta-carotene) Losses in Pakistani Cooking (1988) Journal of science food Agriculture, 45, pp 249-251</t>
  </si>
  <si>
    <t>Rahman, M, M., Wahed, A, M., Ali, A, M. Beta-carotene losses during different methods of cooking green leafy vegetables in Bangladesh (1990) Journal of food composition and analysis, 3, pp 47-53</t>
  </si>
  <si>
    <t>ve15</t>
  </si>
  <si>
    <t>Khader, V., Rama, S. Selected mineral content of common leafy vegetables consumed in India at different stages of maturity (1998) Plant foods for human nutrition, 53, pp 71-81</t>
  </si>
  <si>
    <t>Arora, A. Total and ironisable iron content in some vegetables as influenced by cooking in iron utensil (2000) Journal of food science and technology, 37 (1) pp 64-66</t>
  </si>
  <si>
    <t>Kawashima, M, L., Lucia, M., Soares, V. Mineral profile of raw and cooked leafy vegetables consumed in Southern Brazil (2003) Journal of food composition and analysis, 16, pp 605-611</t>
  </si>
  <si>
    <t>Negi, S, P., Roy, K, S. Effect of blanching and drying methods on Beta carotene, ascorbic acid and chlorophyll retention of leafy vegetables (2000) Lebensm.-Wiss u-Technol, 33, pp 295-298</t>
  </si>
  <si>
    <t>Kumari, M., Gupta, S., Lakshmi, J, A., Prakash, J. Iron bioavailability in green leafy vegetables cooked in different utensils (2004) Food chemistry, 86, pp 217-222</t>
  </si>
  <si>
    <t>Agte, V, V., Tarwadi, V, K., Mengale, S, Chiplonkar, A, S. Potential of traditionally cooked green leafy vegetables as natural sources for supplementation of eight micronutrients in vegetarian diets (200) Journal of food composition and analysis, 13, pp885-891</t>
  </si>
  <si>
    <t>Ejoh, A, R., Nkonga, V, D., Inocent, G., Moses, C, M. Nutritional components of some non-conventional leafy vegetables consumed in cameroon (2007) Pakistan journal of nutrition, 6 (6) pp 712-717</t>
  </si>
  <si>
    <t>Schonfeldt, C, H., Pretorius, B. The nutrient content of five traditional South African dark green leafy vegetables - A preliminary study (2011) Journal of food composition and analysis, pp 1-6</t>
  </si>
  <si>
    <t>Mepba, D, H., Eboh, L., Banigo, B, E, D. Effects of processing treatments on the nutritive composition and consumer acceptance of some Nigerian edible leafy vegetables (2007) African Journal of food agriculture nutrition and development, 7 (1) (1) pp 1 -18</t>
  </si>
  <si>
    <t xml:space="preserve">Randrianatoandro, A, V., Avallone, S., Picq, C., Ralison, C., Treche, S. Recipes nd nutritional value of dishes prepared from green-leafy vegetables in an urban district of Antananarivo (Madagascar) (2010) International journal of food science and nutrition, 61 (4) pp 404-416 </t>
  </si>
  <si>
    <t>Onyeike, N, E., Ihugba, C, A., George, C. Influence of heat processing on the nutrient composition of vegetables consumed in Nigeria (2003) Plant food for human nutrition, 58, pp 1-11</t>
  </si>
  <si>
    <t>Miller-Cebert, L, R., Sistani, A, N., Cebert, E. Comparative mineral compostion among canola cultivars and other cruciferous leafy greens (2009) Journal of food composition and analysis, 22, pp 112-116</t>
  </si>
  <si>
    <t>Aletor, O., Oshodi, A, A., Ipinmoroti, K. Chemical composition of common leafy vegetables and functional properties of their leaf protein concentrates (2002) Food chemistry, 78, pp63-68</t>
  </si>
  <si>
    <t>Huang, Z., Wang, B., Eaves, H, D., Shikany, M, J., Pace, D, R. Phenolic compound profile of selected vegetables frequently consumed by african americans in the southeast united states (2007) Food chemistry, pp 1395-1402</t>
  </si>
  <si>
    <t xml:space="preserve">Odhav, B., Beekrum, S., Akula, U., Baijnath, H, Preliminary assessment of nutritional value fo traditional leafy vegetables in kwazulu-natal, south africa (2007) journal of food composition and annalysis, 20, pp430-435 </t>
  </si>
  <si>
    <t>Sanchez-Castillo, P, C., Dewey, S, J, P., Aguirre, A., Lara, J, J., Vaca, R., Barram L, P., Ortiz, M., Escamilla, I., James, T, P. The mineral content of mexican fruits and vegetables (1998) Journal of food composition and analysis, 11, pp 340-356</t>
  </si>
  <si>
    <t>Wallace, A, P., Marfo, K, E., Plahar, A, W. Nutritional quality and antinutritional composition of four non-conventional leafy vegetables (1997) Food chemistry, 3, pp287-291</t>
  </si>
  <si>
    <t>Singh, G., Kawatra, A., Sehgal, S. Nutritional composition of selected green leafy vegetables, herbs and carrots (1999) Plant foods for human nutrition, 56, pp359-364</t>
  </si>
  <si>
    <t>Caunii, A., Cuciureanu, R., Zakar, M, A., Tonea, E., Giuchici, C. Chemical composition of common leafy vegetables (2010) Studia universitatis 'vaslie goldis', 20 (2) pp45-48</t>
  </si>
  <si>
    <t>Kala, A., Prakash, J. Nutrient composition and sensory profile of differently cooked green leafy vegetables (2011) international journal of food properties, 7 (3) pp659-669</t>
  </si>
  <si>
    <t>Ajayi, O, S., Oderinde, F, S., Osibanio, O. Vitamin C losses in cooked fresh leafy vegetables (1980) Food chemistry 5, pp243-247</t>
  </si>
  <si>
    <t>Reddy, S, N., Bhatt, G. Contents of minerals in green leafy vegetables cultivated in soil fortified with different chemical fertilizers (2001) Plant foods for human nutrition, 56, pp1-6</t>
  </si>
  <si>
    <t>Khachik, F., Goli, B, M., Beecher, R, G., Holden, J., Lusby, R, W., Tenorio, D, M., Barrera, R, M. Effect og food preparation on qualitative and quantitative distribution of major carotenoid constituents of tomatoes and several green vegetables (1992) Journal of argiculture and food chemistry, 40, pp390-398</t>
  </si>
  <si>
    <t>Oteng-Gyang, K., Mbachu, I, J. Changes in the ascorbic acid content of some tropical leafy vegetables during traditional cooking and local processing (1986) Food chemistry, 23 pp 9-17</t>
  </si>
  <si>
    <t>Rosa R., Bandarra N.M., Nunes M.L. (2007). Nutritional quality of African catfish Clarias gariepinus (Burchell 1822): a positive criterion for the future development of the European production of Siluroidei. Int J Food Sci Tech 42: 342-351</t>
  </si>
  <si>
    <t>Erkan N., Selçuk A., Özden Ö. (2010) Amino acid and vitamin composition of raw and cooked horse mackerel. Food Anal Methods 3: 269-275</t>
  </si>
  <si>
    <t>Ho B.T., Paul D.R. (2009). Fatty acid profile of tra catfish (Pangasius hypophthalmus) compared to Atlantic salmon (Salmo salar) and Asian seabass (Lates calcarifer). Int Food Res J 16: 501-506</t>
  </si>
  <si>
    <t>Jankowska B., Zakęś Z., Żmijewski T., Szczepkowski M. (2003) A comparison of selected quality features of the tissue and slaughter yield of wild and cultivated pikeperch (Sander lucioperca). Eur Food Res Technol 217: 401-405</t>
  </si>
  <si>
    <t>Özden Ö., Erkan N. (2008) Comparison of biochemical composition of three aqua cultured fishes (Dicentrarchus labrax, Sparus aurata, Dentex dentex). Int J Food Sci Nutr 59(7-8): 545-557</t>
  </si>
  <si>
    <t>Naseri M., Rezaei M., Moieni S., Hosseni H., Eskandari S. (2010) Effect of different precooking methods on chemical composition and lipid damage of silver carp (Hypophthalmichthys molitrix). Int J Food Sci Technol 45: 1973-1979</t>
  </si>
  <si>
    <t>Orban E., Nevigato T., Di Lena G., Masci M., Casini I., Gambelli L., Caproni R. (2008) New trends in the seafood market. Sutchi catfish (Pangasius hypophthalmus) fillets from Vietnam: Nutritional quality and safety aspects. Food Chem 110: 383-389</t>
  </si>
  <si>
    <t>Karl H., Lehmann I., Rehbein H., Schubring R. (2010.) Composition and quality attributes of conventionally and organically farmed Pangasius fillets (Pangasius hypophthalmus) on the German market. Int J Food Sci Technol 45: 56-66</t>
  </si>
  <si>
    <t>Wu W.-H., Lillard D.A. (1998). Cholesterol and proximate composition of channel catfish (Ictalurus punctatus) fillets-changes following cooking by microwave heating, deep-fat frying, and oven baking. J Food Qual 21: 41-51</t>
  </si>
  <si>
    <t>Garduno-Lugo M., Herrera-Solís J.R., Angulo-Guerrero J.O., Munoz-Córdova G., De la Cruz-Medina J. (2007). Nutrient composition and sensory evaluation of fillets from wild-type Nile tilapia (Oreochromis niloticus, Linnaeus) and red hybrid (Florida red tilapia x red O. niloticus). Aquaculture Res 38: 1074-1081.</t>
  </si>
  <si>
    <t>Andrade A.D., Rubira A.F., Matsushita M., Souza N.E. (1995). ω3 fatty acids in freshwater fish from South Brazil. JAOCS 72(10): 1207-1210</t>
  </si>
  <si>
    <t>Gokoglu N., Yerlikaya P., Cengiz E. (2004). Effects of cooking methods on the proximate composition and mineral contents of rainbow trout (Oncorhynchus mykiss). Food Chemistry 84: 19-22</t>
  </si>
  <si>
    <t>Chapman F.A., Colle D.E., Miles R.D. (2005). Processing yields for meat of Russian and Siberian sturgeons cultured in Florida, USA. J. Aqua. Food Prod. Technol. 14(1): 29-37</t>
  </si>
  <si>
    <t>Otwell W.S., Rickards W.L. (1981/1982). Cultured and wild American eels, Anguilla rostrata: fat content and fatty acid composition. Aquaculture 26: 67-76</t>
  </si>
  <si>
    <t>Sant'Ana L.S., Ducatti C., Gonçalves Ramires D. (2010). Seasonal variations in chemical composition and stable isotopes of farmed and wild Brazilian freswater fish. Food Chemistry 122: 74-77</t>
  </si>
  <si>
    <t>Wimalasena S., Jayasuriya M.N.S. (1996). Nutrient analysis of some fresh water fish. J. Natn. Sci. Coun. Sri Lanka 24(1): 21-26</t>
  </si>
  <si>
    <t>Özogul Y., Özogul F., Alagoz S. (2007). Fatty acid profiles and fat contents of commercially important seawater and freshwater fish species of Turkey: A comparative study. Food Chemistry 103: 217-223</t>
  </si>
  <si>
    <t>Paleari M.A., Beretta G., Grimaldi P, Vaini F. (1997). Composition of muscle tissue of farmed white sturgeon (Acipenser transmontanus) with particular reference to lipidic content. J. Appl. Ichthyl. 13: 63-66</t>
  </si>
  <si>
    <t>Badiani A., Stipa S., Nanni N., Gatta P.P., Manfredini M. (1997). Physical indices, processing yields, compositional parameters and fatty acid profile of three species of cultured sturgeon (Genus Acipenser). J Sci Food Agric 74: 257-264</t>
  </si>
  <si>
    <t>Hadjinikolova L. (2008). Investigations on the chemical composition of carp (Cyprinus carpio L.), bighead carp (Aristichthys nobilis Rich.) and pike (Esox Lusius L.) during different stagees of individual growth. Bulgarian Journal of Agricultural Science 14(2): 121-126</t>
  </si>
  <si>
    <t>Vlieg P. (1985). Proximate analysis of commercial New Zealand fish species - 4. New Zealand Journal of Technology 1: 245-249</t>
  </si>
  <si>
    <t>Papan F., Moghaddam A.Z. (2008). Nutritional evaluation of some species of fishes in Khuzestan and determination of the amount of soy bean meal used in the fish food formula on the basis of its isoflavone content. Journal of Biological Sciences 8(3): 667-670</t>
  </si>
  <si>
    <t>Sirot V., Oseredczuk M., Bemrah-Aouachria N., Volatier J.-L., Leblanc J.-C.(2008). Lipid and fatty acid composition of fish and seafood consumed in France: CALIPSO study. J Food Comp Anal 21: 8-16</t>
  </si>
  <si>
    <t>Tang H.-G., Wu T.-X., Zhao ZH.-Y., Pan X.-D. (2008). Biochemical composition of large yellow croaker (Pseudosciaena cocea) cultured in China. Journal of Food Quality 31: 382-393</t>
  </si>
  <si>
    <t>Osman H., Suriah A.R., Law E.C. (2001). Fatty acid composition and cholesterol content of selected marine fish in Malaysian waters. Food Chemistry 73: 55-60</t>
  </si>
  <si>
    <t>Tanakol R., Yazıcı Z., Sener E., Sencer E. (1999). Fatty acid composition of 19 species of fish from the Black Sea and the Marmara Sea. Lipids, 34(3): 291-297</t>
  </si>
  <si>
    <t>Nakamura Y.-N., Ando M., Seoka M., Kawasaki K.-i., Tsukamasa Y. (2007). Changes of proximate anf fatty acid compositions of the dorsal and ventral ordinary muscles of the full-cycle cultured Pacific bluefin tuna Thunnus orientalis with growth. Food Chemistry 103: 234-241</t>
  </si>
  <si>
    <t>Dincer T., Cakli S., Cadun A. (2010). Comparison of proximate and fatty acid composition of the flesh of wild and cultured fish species. Arch Lebensmittelhyg 61: 12-17</t>
  </si>
  <si>
    <t>Chaijan M., Jongjareonrak A., Phatcharat S., Benjakul S., Rawdkuen S. (2010). Chemical compositions and characteristics of farm raised giant catfish (Pangasianodon gigas) muscle. Food Science and Technology 43: 452-457</t>
  </si>
  <si>
    <t>Rueda F.M., Hernández M.D., Egea M.A., Aguado F., García B., Martínez F.J. (2001). Differences in tissue fatty acid composition between reared and wild sharpsnout sea bream, Diplodus puntazzo (Cetti, 1777). British Journal of Nutrition 86: 617-622</t>
  </si>
  <si>
    <t>Tawfik M.S. (2009). Proximate composition and fatty acid profiles in most common available fish species in saudi market. Asian Journal of Clinical Nutrition 1(1): 50-57</t>
  </si>
  <si>
    <t>Memon N.N., Talpur F.N., Bhanger M.I., Balouch A. (2011). Changes in fatty acid composition in muscle of three farmed carpf fish species (Labeo rohita, Cirrhinus mrigala, Catla catla) raised under the saime conditions. Food Chemistry 126: 405-410</t>
  </si>
  <si>
    <t>Alasalvar C., Taylor K.D.A., Yubcov E., Shahidi F., Alexis M. (2002). Differentiation of cultured and wild sea bass (Dicentrarchus labrax): total lipid content, fatty acid and trace mineral composition. Food Chemistry 79: 145-150</t>
  </si>
  <si>
    <t>Usydus Z., Szlinder-Richert J., Adamczyk M., Szatkowska U. (2011). Marine and farmed fish in the Polish market: Comparison of the nutritional value. Food Chemistry 126: 78-84</t>
  </si>
  <si>
    <t>Swapna H.C., Amit K.R., Bhaskar N., Sachindra N.M. (2010). Lipid classes and fatty acid profile of selected Indian fresh water fishes. J Food Sci Technol 47(4): 394-400</t>
  </si>
  <si>
    <t>Álvarez V., Medina I., Prego R., Aubourg S.P. (2009). Lipid and mineral distribution in different zones of farmed and wild blackspot seabream (Pagellus bogaraveo). Eur. J. Lipid Sci. Technol. 111: 957-966</t>
  </si>
  <si>
    <t>Olsson G.B., Olsen R.L., Carlehög M., Ofstad R. (2003). Seasonal variations in chemical and sensory characteristics of farmed and wild Atlantic halibut (Hippoglossus hippoglossus). Aquaculture 217: 191-205</t>
  </si>
  <si>
    <t>Larsen D. Quek S.Y., Eyres L. (2010). Effect of cooking method on the fatty acid profile on New Zealand King Salmon (Oncorhynchus tshawytscha). Food Chemistry 119: 785-790.</t>
  </si>
  <si>
    <t xml:space="preserve">Martínez B., Miranda J.M., Nebot C., Rodriguez J.L., Cepeda A., Franco C.M. (2010). Differentiation of farmed and wild turbot (Psetta maxima): Proximate chemical composition, fatty acid profile, trace minerals and antimicrobial resistance of contaminant bacteria. Food Sci Tech Int 16(5): 435-437 </t>
  </si>
  <si>
    <t>Limin L., Feng X., Jing H. (2006). Amino acids composition difference and nutritive evaluation of the muscle of five species of marine fish, Pseudosciaena crocea (large yellow croaker), Lateolabrax japonicus (common sea perch), Pagrosomus major (red seabream), Seriola dumerili (Dumeril's amberjack) and Hapalogenys nitens (black grunt) from Yiamen Bay of China. Aquaculture Nutrition 12:53-59.</t>
  </si>
  <si>
    <t>Yerlıkaya P., Gokoglu N., Topuz O.K., Gokoglu M. (2009). Changes in the proximate composition of bluefin tuna (Thunnus thynnus) reared in the cages located on the Gulf of Antalya (Turkey's Western Mediterranean coast) during the fattening period. Aquaculture Research 40: 1731-1734</t>
  </si>
  <si>
    <t>Özden Ö., Erkan N., Ulusoy Ş. (2010). Determination of mineral composition in three commercial fish species (Solea solea, Mullus surmuletus, and Merlangius merlangus). Environ Monit Assess 170: 353-363</t>
  </si>
  <si>
    <t>Kenari A.A., Regenstein J.M., Hosseini S.V., Rezaei M., Tahergorabi R., Nazari R.M., Mogaddasi M., Kaboli S.A. (2009). Amino acid and fatty acid composition of cultured beluga (Huso huso) of different ages. Journal of Aquatic Food Product Technology 18: 245-265</t>
  </si>
  <si>
    <t>Ersoy B., Özeren A. (2009). The effect of cooking methods on mineral and vitamin contents of African catfish. Food Chemistry 115: 419-422</t>
  </si>
  <si>
    <t>Chandrashekar K. Deosthale Y.G. (1993). Proximate composition, amino acid, mineral, and trace element content of the edible muscle of 20 Indian fish species. Journal of Food Composition and Analysis 6: 195-200</t>
  </si>
  <si>
    <t>Córser P.I., Ferrari G.T., De Martinez Y.B. (2000). Análisis proximal, perfil de ácidos grasos, aminoácidos esenciales y contendido de minerales en doce especies de pescado de importancia comercial en Venezuela. Archivos Latinoamericanos de Nutritcion 50(2): 187-194</t>
  </si>
  <si>
    <t>Weber J., Bochi V.C., Ribeiro C.P., Victório A. de M., Emanuelli T. (2008). Effect of different cooking methods on the oxidation, proximate and fatty acid composition of silver catfish (Rhamdia quelen) fillets. Food Chemistry 106:140-146</t>
  </si>
  <si>
    <t>Ostermeyer U., Schmidt T. (2006). Vitamin D and provitamin D in fish. Eur Food Res Technol 222:403-413</t>
  </si>
  <si>
    <t>De Souza Franco M.L.R., Viegas E.M.M., Kronka S.N., Vidotti R.M., Assano M., Gasparino E. (2010). Effects of hot and cold smoking process on organoleptic properties, yield and composition of matrinxa fillet. Revista Brasilerira de Zootecnia 39(4):695-700</t>
  </si>
  <si>
    <t>Chomnawang C., Nantachai K., Yongsawatdigul J., Thawornchinsombut S., Tungkawachara S. (2007). Chemical and biochemical changes of hybrid catfish fillet stored at 4 ˚C and its gel properties. Food Chemistry 103:420-427</t>
  </si>
  <si>
    <t>Moreira A.B., Visentainer J.V., de Souza N.E., Matsushita M. (2001). Fatty acid profile and cholesterol contents of three Brazilian Brycon freshwater fishes. Journal of Food Composition and Analysis 14:565-574</t>
  </si>
  <si>
    <t>Tanamati A., Stevanato F.B., Visentainer J.E.L., Matsushita M., de Souza N.E., Visentainer J.V. (2009). Fatty acid composition in wild and cultivated pacu and pintado fish. Eur. J. Lipid Sci. Technol. 111:183-187</t>
  </si>
  <si>
    <t>Jankowska B., Zakęś Z., Żmijewski T., Szczepkowski M. (2008). Fatty acid composition of wild and cultured northern pike (Esox lucius). J. Appl. Ichthyol. 24:196-201</t>
  </si>
  <si>
    <t>Palmeri G., Turchini G.M., Caprino F., Keast R., Moretti V.M., De Silva S.S. (2008). Biometric, nutritional and sensory changes in intensively farmed Murray cod (Maccullochella peelii peelii, Mitchell) following different purging times. Food Chemistry 107: 1605-1615</t>
  </si>
  <si>
    <t>Decker E.A., Crum A.D., Mims S.D., Tidwell J.H. (1991). Processing yields and composition of paddlefish (Polyodon spathula), a potential aquaculture species. J. Agric. Food Chem 39: 686-688</t>
  </si>
  <si>
    <t>Oku T. Sugawara A., Choudhury M., Komatsu M., Yamada S., Ando S. (2009). Lipid and fatty acid compositions differntiate between wild and cultured Japanese eel (Anguilla japonica). Food Chemistry 115: 436-440</t>
  </si>
  <si>
    <t>Fuentes A., Fernández-Segovia I., Barat J.M., Serra J.A. (2010). Physicochemical characterization of some smoked and marinated fish products. Journal of Food Processing and Preservation 34: 83-103</t>
  </si>
  <si>
    <t>Eckhoff K.M., Maage A. (1997). Iodine content in fish and other food products from East Africa analyzed by ICP-MS. Journal of Food Composition and Analysis 10: 270-282</t>
  </si>
  <si>
    <t>Mattila P., Ronkainen R., Lehikoinen K., Piironen V. (1999). Effect of household cooking on the Vitamin D content in fish, eggs, and wild mushrooms. Journal of Food Composition and Analysis 12: 153-160</t>
  </si>
  <si>
    <t>Nettleton J.A., Exler J. (1992). Nutrients in wild and farmed fish and shellfish. Journal of Food Science 57(2): 257-260</t>
  </si>
  <si>
    <t>Mattila P., Piironen V. Uusi-Rauva E., Koivistoinen P. (1995). Cholecalciferol and 25-hydroxycholecalciferol contents in fish and fish products. Journal of Food Composition and Analysis 8: 232-243</t>
  </si>
  <si>
    <t>Loukas V., Dimizas C., Sinanoglou V., Miniadis-Meimaroglou S. (2010). EPA, DHA, cholesterol and phospholipid content in Pagrus pagrus (cultured and wild), Trachinus draco und Trigla lyra from Mediterranean Sea. Chemistry and Physics of Lipids 163: 292-299</t>
  </si>
  <si>
    <t>Wu T., Mao L. (2008). Influences of hot air drying and microwave drying on nutritional and odorous properties of grass carp (Ctenophayngodon idellus) fillets. Food Chemistry 110: 647-653</t>
  </si>
  <si>
    <t>González S., Flick G.J., O'Keefe S.F., Duncan S.E., McLean E. Craig S.R. (2006). Composition of farmed and wild yellow perch (Perca flavescens). Journal of Food Composition and Analysis 19: 720-726</t>
  </si>
  <si>
    <t>Karahadian C., Fowler K.P., Dyveke H.C. (1995). Comparison of chemical composition of striped bass (Morone saxatilis) from three Chesapeake Bay tributaries with those of two aquaculture hybrid striped bass types. Food Chemistry 54(4): 409-418</t>
  </si>
  <si>
    <t>Luzzana U., Scolari M., Campo Dall'Orto B., Vaini F.A., Nargaye N., Valfré F. (2002). Fillet yield and chemical composition of farm-raised sunshine bass (Morono chrysops x Morone saxatilis) fed high-energy diets. J. Appl. Ichthyol. 18: 65-69</t>
  </si>
  <si>
    <t>Yanar Y., Küçükgülmez A., Ersoy B., Celik M. (2006). Cooking effects on fatty acid composition of cultured sea bass (Dicentrarchus labrax) fillets. Journal of Muscle Foods 18: 88-94</t>
  </si>
  <si>
    <t>Badiani A., Anfossi P., Fiorentini L., Gatta P.P., Manfredini M., Nanni N., Stipa S. Tolomelli B. (1996). Nutritional composition of cultured sturegeon (Acipenser spp.). Journal of Food Composition and Analysis 9: 171-190</t>
  </si>
  <si>
    <t>Grigorakis K., Alexis M.N., Taylor K.D.A., Hole M. (2002). Comparison of wild and cultured gildhead sea bream (Sparus aurata); composition, appearance and seasonal variations. International Journal of Food Science and Technology 37:477-484</t>
  </si>
  <si>
    <t>Gladyshev M.I., Sushchik N.N., Gubanenko G.A., Demirchieva S.M., Kalachova G.S. (2007). Effect of boiling and frying on the content of essential polyunsaturated fatty acids in muscle tissue of four fish species. Food Chemistry 101:1694-1700</t>
  </si>
  <si>
    <t>Thakur D.P., Morioka K., Itoh N., Wada M., Itoh Y. (2009). Muscle biochemical constituents of cultured amberjack Seriola dumerili and their influence ond raw meat texture. Fish Sci 75:1489-1498</t>
  </si>
  <si>
    <t>Stephen N.M., Shakila J.R., Jeyasekaran G., Sukumar D. (2010). Effect of different types of heat processing on chemical changes in tuna. J Food Sci Technol 47(2): 174-181</t>
  </si>
  <si>
    <t>Perea A. Gómez E. Mayorga Y., Triana C.Y. (2008). Caracterización nutricional de pescados de produccion y consumo regional en Bucaramanga, Colombia. Archivos Latinoamericanos de Nutricion 58(1): 91-97</t>
  </si>
  <si>
    <t>Castro-González M.I., Ojeda A., Silncio J.L., Cassis L., Ledesma H., Pérez-Gil F. (2004). Perfil lipídico de 25 pescados marinos mexicanos con especial énfasis en sus ácidos grasos n-3 como components nutracéuticos. Archivos Latinoamericanos de Nutricíon 54(3): 328-336</t>
  </si>
  <si>
    <t>Manthey-Karl M, Karl H., Lehmann I., Meyer C. Ostermeyer U., Schubring R. (2010). Quality of organically and conventionally farmed rainbow trout (Oncorhynchus mykiss) and smoked products thereof from the German market. Arch Lebensmittelhyg 61: 40-49</t>
  </si>
  <si>
    <t>Mathew S., Ammu K. Viswanathan N.P.G., Devadasan K. (1999). Cholesterol content of Indian fish and shellfish. Food Chemistry 66: 455-461</t>
  </si>
  <si>
    <t>Caula F.C.B., de Oliveira M.P., Maiaa E.L. (2008). Teor de colesterol e composição centesimal de algumas especies de peixes do estado do Ceará. Ciência e Tecnologia de Alimentos 28(4): 959-963</t>
  </si>
  <si>
    <t>Barrento S., Marques A., Teixeira B., Vaz-Pires P., Carvalho M.L., Nunes M.L. (2008). Essential elements and contaminants in edible tissues of European and American lobsters. Food Chemistry 111: 862-867</t>
  </si>
  <si>
    <t>Chen D.-W., Zhang M., Shrestha S. (2007). Compositional characteristics and nutritional quality of Chinese mitten crab (Eriocheir sinensis). Food Chemistry 103: 1343-1349</t>
  </si>
  <si>
    <t>Fuentes A., Fernández-Segovia I., Escriche I., Serra J.A. (2009). Comparison of physico-chemical parameters and composition of mussels (Mytilus galloprovincialis Lmk.) from different Spanish origins. Food Chemistry 112: 295-302</t>
  </si>
  <si>
    <t>Sriket P., Benjakul S., Visessanguan W., Kijroongrojana K. (2007). Comparative studies of chemical composition and thermal properties of black tiger shrimp (Penaeus monodon) and white shrimp (Penaeus vannamei) meats. Food Chemistry 103: 119-1207</t>
  </si>
  <si>
    <t>Kalogeropoulos N., Andrikopoulos N.K., Hassapidou M. (2004). Dietary evalutation of Mediterranean fish and molluscs pan-fried in virgin olive oil. Journal of the Science of Food and Agriculture 84:1750-1758</t>
  </si>
  <si>
    <t>Linehan L.G., O'Connor T.P., Burnell G. (1999). Seasonal variation in the chemical composition and fatty acid profile of Pacific oysters (Crassostrea gigas). Food Chemistry 64:211-214</t>
  </si>
  <si>
    <t>King I., Childs M.T., Dorsett C., Ostrander J.G., Monsen E.R. (1990). Shellfish: Proximate composition, minerals, fatty acids, and sterols. Journal of the American Dietetic Association 90(5): 677-685</t>
  </si>
  <si>
    <t>Biandolino F., Portacci G., Prato E. (2010). Influence of natural diet on growth and biochemical composition of Octopus vulgaris Cuvier, 1797. Aqucult Int 18: 1163-1175</t>
  </si>
  <si>
    <t>Roos N., Wahab Md. A., Chamnan C., Thilsted S.H. (2007). The role of fish in food-based-strategies to combat Vitamin A and mineral deficiencies in developing countries. Journal of Nutrition 137(4): 1106-1109</t>
  </si>
  <si>
    <t>Unusan N. (2007). Change in proximate, amino acid and fatty acid contents in muscle tissue of rainbow trout (Oncorhynchus mykiss) after cooking, 2007. International Journal of Food Science and Technology 42: 1087 - 1093</t>
  </si>
  <si>
    <t>Anibal J., Esteves E., Rocha C. (2011). Seasonal variations in gross biochemical composition, percent edibility, and condition index of the clam ruditapes decussatus cultivated in the ria formosa (South Portugal). Journal of Shellfish Research 30(1): 17 -</t>
  </si>
  <si>
    <t>Mairesse G., Thomas M., Gardeur J.N., Brun - Bellut J. (2006). Effects of Geographic Source, Rearing System, and Season on the Nutritional Quality of Wild and Farmed Perca fluviatilis. Lipids 61 (3): 221 - 229</t>
  </si>
  <si>
    <t>Luzia L.A., Sampaio G.R., Castellucci C.M.N., Torres E.A.F.S. (2003). The influence of season on the lipid profiles of five commercially important species of Brazilian fish. Food Chemistry 83: 93 - 97</t>
  </si>
  <si>
    <t xml:space="preserve">Marques A., Teixeira B., Barrento S., Anacleto P., Carvalho M.L., Nunes M.L. (2010). Chemical composition of Atlantic spider crab Maja brachydactyla: Human health implications. Journal of Food Compositon and Analysis 23: 230 - 237. </t>
  </si>
  <si>
    <t>Barrento S., Marques A., Teixeira B., Vaz-Pires P., Nunes M.L. (2009). Nutritional Quality of the edible tissues of Euripean Lobster Homarus gammarus and American Lobster Homarus Americanus. Journal of Agricultural and Food Chemistry 57: 3645 - 3652</t>
  </si>
  <si>
    <t xml:space="preserve">Stroud G.D., Dalgarno E.J. (1982). Wild and Farmed Lobsters (Homarus Gammarus). A comparison of Yield, Proximate chemical composition and sensory properties. Aqualculture 29: 147 - 154 </t>
  </si>
  <si>
    <t>Özden Ö., Erkan N., Ulusoy S.(2009). Seasonal variations in the macronutrient mineral and proximate composition of two clams (Chamelea gallina and Donax trunculus). International Journal of Food Sciences and Nutrition 60: 402 - 412</t>
  </si>
  <si>
    <t>Fu X.Y., Xue C.H., Miao B.C., Li Z.J., Zhang Y.Q., Wang Q. (2007). Effect of processing steps on physico - chemicalproperties of dried - seasoned squid. Food Chemistry 103: 287 - 294</t>
  </si>
  <si>
    <t>Stansby M.E. (1976). Chemical characteristics of fish caught in the Northeast Pacific Ocean. Marine Fisheries Review 38(9): 1-11</t>
  </si>
  <si>
    <t>Kuhnlein H.V., Chan H.M., Leggee C., Barthet V. (2002). Macronutrient, mineral and fatty acid composition of Canadian arctic traditional foo. Journal of Food Composition and Analysis 15: 545-566</t>
  </si>
  <si>
    <t>Li G., Li J., Li D. (2010). Seasonal variation in nutrient composition of Mytilus coruscus from China. J. Agric. Food Chem. 58: 7831-7837</t>
  </si>
  <si>
    <t>Roos N., Leth T., Jakobsen J., Thilsted S.H. (2002). High vitamin A content in some small indigenous fish species in Bangladesh: perspectives for food-based strategies to reduce vitamin A deficiency. International Journal of Food Science and Nutrition 53:425-437</t>
  </si>
  <si>
    <t>Şengör G.F., Gün H. Kalafatoğlu H. (2008). Determination of the amino acid and chemical composition of canned smoked mussels (Mytilus galloprovincialis, L.). Turk. J. Vet. Amin. Sci. 32(1): 1-5</t>
  </si>
  <si>
    <t>Carvalho A.F.U., Farias D.F., Barroso C.X., Sombra C.M.L., Silvino A.S., Menezes M.O.T., Soares M.O., Fernandes D.A.O., Gouveia S.T. (2007). Nutritive value of three organisms from mangrove ecosystem: Ucides cordatus (Linnaeus, 1763), Mytella sp. (Soot-Ryen, 1955) and Crassostrea rhizophorae (Guilding, 1828). Braz. J. Biol. 67(4): 787-788</t>
  </si>
  <si>
    <t>Su X.-Q., Antonas K., Li D., Nichols P. (2006). Seasonal variations of total lipid and fatty acid contents in the muscle of two Australian farmed abalone species. Journal of Food Lipids 13: 411-423</t>
  </si>
  <si>
    <t>Bragagnolo N., Rodriguez-Amaya D.B. (2001). Total lipid, cholesterol, and fatty acids of farmed freshwater prawn (Macrobrachium rosenbergii) and wild marine shrimp (Penaeus brasiliensis, Penaeus schimitti, Xiphopenaeus kroyeri). Journal of Food Composition and Analysis 14: 359-369</t>
  </si>
  <si>
    <t>Yap C.K., Ismail A., Tan S.G. (2004). Heavy metal (Cd, Cu, Pb and Zn) concentrations in the green-lipped mussel Perna viridis (Linnaeus) collected from some wild and aquacultural sites in the west coast of Peninsular Malaysia. Food Chemistry 84: 569-575</t>
  </si>
  <si>
    <t>Ackefors H. Castell J., Örde-Öström I.-L. (1997). Preliminary results on the fatty acid composition of freshwater crayfish, Astacus astacus and Pacifastacus leiusculus, held in captivity. Journal of the World Aquaculture Society 28(1): 97-105</t>
  </si>
  <si>
    <t>Chiou T.-K., Chang H.-K., Lo L., Lan H.-L., Shiau C.-Y. (2000). Changes ins chemical constituents and physical indices during processing of dried-seasoned squid. Fisheries Science 66:708-715</t>
  </si>
  <si>
    <t>Wu X., Cheng Y., Sui L., Yang X., Nan T., Wang J. (2007). Biochemical composition of pond-reared and lake-stocked Chinese mitten crab Eriocheir sinensis (H. Milne-Edwards) broodstock. Aquaculture Research 38: 1459-1567</t>
  </si>
  <si>
    <t>Tavares M., do Amaral Mello M. R. P., Campos N.C., de Morais C., Ostini S. (1998). Proximate composition and caloric value of the mussel Perna perna, cultivated in Ubatuba, São Paulo State, Brazil. Food Chemistry 62(4): 473-475</t>
  </si>
  <si>
    <t>Ifon E.T., Umoh I.B. (1987). Biochemical and nutritional evaluation of Egreria radiata (Clam), a delicacy of some riverine peasant populations in Nigeria. Food Chemistry 24: 21-27</t>
  </si>
  <si>
    <t>Orban E., Di Lana G., Masci M., Nevigato T., Casini I., Caproni R., Gambelli L., Pellizzato M. (2004). Growth, nutritional quality and safety of oysters (Crassostrea gigas) cultured in the lagoon of Venice (Italy). Journal of the Science of Food and Agriculture 84: 1929-1938</t>
  </si>
  <si>
    <t>Beltrán-Lugo A.I., Maeda-Martínez A.N., Pacheco-Aguilar R., Nolasco-Soria H.G. (2006). Seasonal variations in chemical, physical, textural, and microstructural properties of adductor muscles of Pacific lions-paw scallop (Nodipecten subnodosus). Aquaculture 258: 619-632</t>
  </si>
  <si>
    <t>Men L.T., Thanh V.C., Hirata Y., Yamasaki S. (2004). Evaluation of the Genetic Diversities and nutritional Values of the Tra (Pangasius hypophthalmus) and the Basa (Pangasius bocourti) Catfish cultivated in the Mekong River Delta of Vietnam. Asian - Aust. J. Anim. Sci. 5: 671 - 676</t>
  </si>
  <si>
    <t>Watanabe F., Katsura H., Takenaka S., Enomoto T., Miyamoto E., Nakatsuka T., Nakano Y. (2001) Characterization of Viatmin B12 compounds from edibe shellfish, clam, oyster and mussel. International Journal of Food Sciences and Nutrition 52: 263 - 268</t>
  </si>
  <si>
    <t>Procopia de Moura A.F., Torres R.P., Mancini - Filho J., Filho A.T. (2002). Caracterizacao da fracao lipidica de amostras comercias de camarao - rosa. Archivos Latinamericanos de Nutricion 52: 207 - 211</t>
  </si>
  <si>
    <t>Surtt J., Lee H.J., Kwon H. (2009). Regional Difference in Fatty Acid Content of Korean Shellfish. Food Sci. Biotechnol 18: 367 - 373</t>
  </si>
  <si>
    <t>Blanco Metzler A., Montero Campos M. (1992). Composicion quimico - nutricional de la carne de cambute, Strombus galeatus (Mesogastropodia: Strombidae). Rev. Biol. Trop. 40: 89 - 93</t>
  </si>
  <si>
    <t>Dincer T. (2006). Differences of Turkish clam (Ruditapes decussates) and Manila clam (Ruditapes philippinarum) according to their proximate composition and heavy metal contents. Journal of Shellfish Research 25: 455 - 459.</t>
  </si>
  <si>
    <t>Lourenco H.M., Anacleto P., Afonso C., Ferraria V., Martins M.F., Carvalho M.L., Lino A.R., Nunes M.L. (2009). Elemental composition of cephalopods from Portuguese continental waters. Food Chemistry 113: 1146-1153</t>
  </si>
  <si>
    <t xml:space="preserve">Reykdal Ó., Jörundsdóttir H.Ó., Desnica N., Hauksdóttir S., Ragnarsdóttir Þ., Vrac A., Gunnlaugsdóttir H., Pálmadóttir H. (2011). Nutrient value of seafoods – Proximates, minerals, trace elements and fatty acids in products. Matis Report 33-11. ISSN 1670-7192. (In Icelandic with English summary). </t>
  </si>
  <si>
    <t>to be completed</t>
  </si>
  <si>
    <t>Malawi, Zomba district</t>
  </si>
  <si>
    <t>Maize green, boiled</t>
  </si>
  <si>
    <t>Zea mays</t>
  </si>
  <si>
    <t>February/March, 1987</t>
  </si>
  <si>
    <t xml:space="preserve">data are expresesd in edile portion </t>
  </si>
  <si>
    <t>tu3</t>
  </si>
  <si>
    <t>MS</t>
  </si>
  <si>
    <t>Tr</t>
  </si>
  <si>
    <t>Maize, flour, 65% extraction, boiled</t>
  </si>
  <si>
    <t>Maize, flour, 95% extraction, boiled</t>
  </si>
  <si>
    <t>Maize, bran</t>
  </si>
  <si>
    <t>Sorghum flour, boiled</t>
  </si>
  <si>
    <t>Sorghum bicolor</t>
  </si>
  <si>
    <t>Rice, raw</t>
  </si>
  <si>
    <t>Oryza sativa</t>
  </si>
  <si>
    <t>Species/Subspecies</t>
  </si>
  <si>
    <t xml:space="preserve">Biblioid </t>
  </si>
  <si>
    <t>PROTCNT(g)</t>
  </si>
  <si>
    <t>CHOAVL(g)</t>
  </si>
  <si>
    <t>CHOCDF(g)</t>
  </si>
  <si>
    <t>STARCH(g)</t>
  </si>
  <si>
    <t>STARCH-(g)</t>
  </si>
  <si>
    <t>SUGRD(g)</t>
  </si>
  <si>
    <t>SUGNRD(g)</t>
  </si>
  <si>
    <t>FIBTG(g)</t>
  </si>
  <si>
    <t>FIBAD(g)</t>
  </si>
  <si>
    <t>FIBND(g)</t>
  </si>
  <si>
    <t>FIBINS(g)</t>
  </si>
  <si>
    <t>FIBSOL(g)</t>
  </si>
  <si>
    <t>CELLU(g)</t>
  </si>
  <si>
    <t>MUCIL(g)</t>
  </si>
  <si>
    <t>NITRA(mg)</t>
  </si>
  <si>
    <t>NITRI(mg)</t>
  </si>
  <si>
    <t>VITA-(IU)</t>
  </si>
  <si>
    <t>CAROT(mcg)</t>
  </si>
  <si>
    <t>CRYPX(mcg)</t>
  </si>
  <si>
    <t xml:space="preserve">CRYPXB(mcg) </t>
  </si>
  <si>
    <t>ANTHX(mcg)</t>
  </si>
  <si>
    <t>LYCPN(mcg)</t>
  </si>
  <si>
    <t>ZEA(mcg)</t>
  </si>
  <si>
    <t>CARTOID(mcg)</t>
  </si>
  <si>
    <t>VITE(mg)</t>
  </si>
  <si>
    <t>VITK(mcg)</t>
  </si>
  <si>
    <t>FUMAC(mg)</t>
  </si>
  <si>
    <t>MALAC(mg)</t>
  </si>
  <si>
    <t>SALAC(mg)</t>
  </si>
  <si>
    <t>TARAC(mg)</t>
  </si>
  <si>
    <t>ANTCYAN(mcg)</t>
  </si>
  <si>
    <t>CAFFAC(mg)</t>
  </si>
  <si>
    <t>CHLRAC(mg)</t>
  </si>
  <si>
    <t>CATEC(mcg)</t>
  </si>
  <si>
    <t>CINAC(mg)</t>
  </si>
  <si>
    <t>CITAC(mg)</t>
  </si>
  <si>
    <t>EPICATEC(mcg)</t>
  </si>
  <si>
    <t>FLAVD(mcg)</t>
  </si>
  <si>
    <t>FLAVO(mg)</t>
  </si>
  <si>
    <t>FERAC(mg)</t>
  </si>
  <si>
    <t>GALLAC(mg)</t>
  </si>
  <si>
    <t>PCHOUAC(mg)</t>
  </si>
  <si>
    <t>SINPAC(mg)</t>
  </si>
  <si>
    <t>SYRAC(mg)</t>
  </si>
  <si>
    <t>VANAC(mg)</t>
  </si>
  <si>
    <t>GLYALK(mg)</t>
  </si>
  <si>
    <t>SOLAA(mg)</t>
  </si>
  <si>
    <t>CYAN(mg)</t>
  </si>
  <si>
    <t>CYANF(mg)</t>
  </si>
  <si>
    <t>PHENAC_CAE (mg)</t>
  </si>
  <si>
    <t>STARES(g)</t>
  </si>
  <si>
    <t>PH</t>
  </si>
  <si>
    <t>LIGN(g)</t>
  </si>
  <si>
    <t>HEMCEL(g)</t>
  </si>
  <si>
    <t>NIATRP(mg)</t>
  </si>
  <si>
    <t>Papua New Guinea, East Sepik, Kaugia Kinjingini</t>
  </si>
  <si>
    <t>Maize, dried</t>
  </si>
  <si>
    <t>Sweet potato, boiled</t>
  </si>
  <si>
    <t>Ipomoea batatas</t>
  </si>
  <si>
    <t>Yams, raw</t>
  </si>
  <si>
    <t>Dioscorea alata</t>
  </si>
  <si>
    <t>Yam(mami)</t>
  </si>
  <si>
    <t>D. esculenta</t>
  </si>
  <si>
    <t>Sweet potato, raw</t>
  </si>
  <si>
    <t>Lima bean, immature</t>
  </si>
  <si>
    <t>P. lunatus</t>
  </si>
  <si>
    <t>Pigeon pea, dried</t>
  </si>
  <si>
    <t>Canjanus cajan</t>
  </si>
  <si>
    <t>Pigeon pea, immature, boiled</t>
  </si>
  <si>
    <t>Kidney bean, dried</t>
  </si>
  <si>
    <t>Phaseolus vulgaris</t>
  </si>
  <si>
    <t>Kidney bean, immature</t>
  </si>
  <si>
    <t>Bengal bean, boiled</t>
  </si>
  <si>
    <t>Stizolobium aterrimum</t>
  </si>
  <si>
    <t>Cowpeas, boiled</t>
  </si>
  <si>
    <t>Vigna unguiculata</t>
  </si>
  <si>
    <t>Groundnut, boiled</t>
  </si>
  <si>
    <t>Arachis hypogaea</t>
  </si>
  <si>
    <t>Groundnut, flour</t>
  </si>
  <si>
    <t>Taro, raw</t>
  </si>
  <si>
    <t>Colocasia esculenta</t>
  </si>
  <si>
    <t xml:space="preserve">Cassava, tuber, boiled </t>
  </si>
  <si>
    <t>Manihot esculenta</t>
  </si>
  <si>
    <t>Nigeria, Ibadan region, Akobo, Alegongo</t>
  </si>
  <si>
    <t>Cassava, tuber, peel removed, raw</t>
  </si>
  <si>
    <t>Manihot esculenta, Crantz</t>
  </si>
  <si>
    <t>peeled and cut into small pieces</t>
  </si>
  <si>
    <t>tu2</t>
  </si>
  <si>
    <t>Gari</t>
  </si>
  <si>
    <t>Cassava, Gari, fermented for 2 days</t>
  </si>
  <si>
    <t>fermented for 2 days</t>
  </si>
  <si>
    <t>possible error in sodium values(not compiled)</t>
  </si>
  <si>
    <t>Cassava, Gari, fermented for 3 days</t>
  </si>
  <si>
    <t>fermented for 3 days</t>
  </si>
  <si>
    <t>Cassava, Gari,fermented for 3 days, market</t>
  </si>
  <si>
    <t>market gari fermented for 3 days</t>
  </si>
  <si>
    <t>Eba</t>
  </si>
  <si>
    <t xml:space="preserve">Cassava, Eba, fermented for 3 days, boiled </t>
  </si>
  <si>
    <t>prepared from 3 days fermented gari boiled in water(100 °C )</t>
  </si>
  <si>
    <t>Abacha</t>
  </si>
  <si>
    <t>Cassava, Abacha, noodle</t>
  </si>
  <si>
    <t>dry abacha</t>
  </si>
  <si>
    <t>dry market  abacha</t>
  </si>
  <si>
    <t>rehydrated abacha</t>
  </si>
  <si>
    <t>Cassava, fermentedfor 3 days, flour</t>
  </si>
  <si>
    <t>fermented cassava flour for 3 days</t>
  </si>
  <si>
    <t>Cassava, fermented for 4 days, flour</t>
  </si>
  <si>
    <t>4 days fermented flour</t>
  </si>
  <si>
    <t>Fufu</t>
  </si>
  <si>
    <t xml:space="preserve">Cassava, Fufu, fermented for 4days </t>
  </si>
  <si>
    <t>fufu from 4 days fermented flour</t>
  </si>
  <si>
    <t xml:space="preserve">Cassava, Fufu, fermented for 4 days, market </t>
  </si>
  <si>
    <t xml:space="preserve">market fufu fermented for 4 days </t>
  </si>
  <si>
    <t>Lafun</t>
  </si>
  <si>
    <t>Cassava, Lafun, fermented for 2 days, flour</t>
  </si>
  <si>
    <t>2 days fermented lafun</t>
  </si>
  <si>
    <t>Cassava, Lafun, fermented for 3 days, flour</t>
  </si>
  <si>
    <t>3 days fermented lafun</t>
  </si>
  <si>
    <t>Cassava, Lafun, fermented for 3 days, market, flour</t>
  </si>
  <si>
    <t>3 days fermented market lafun</t>
  </si>
  <si>
    <t>Amala</t>
  </si>
  <si>
    <t xml:space="preserve">Cassava, Amala, fermented for 3 days, paste </t>
  </si>
  <si>
    <t>stired the 3days fermented lafun flour with boiled water</t>
  </si>
  <si>
    <t xml:space="preserve">Cassava, leaf, boiled </t>
  </si>
  <si>
    <t>Mahihoto esculenta</t>
  </si>
  <si>
    <t>Chinese cabbage, boiled</t>
  </si>
  <si>
    <t>Brassica Chinensis</t>
  </si>
  <si>
    <t>Pumpkin, leaf, boiled</t>
  </si>
  <si>
    <t>Cucurbita maxima</t>
  </si>
  <si>
    <t>Pumpkin, fruit, boiled</t>
  </si>
  <si>
    <t>Amaranth, boiled</t>
  </si>
  <si>
    <t>Amaranthus thunbergii</t>
  </si>
  <si>
    <t>Okra, leaf, boiled</t>
  </si>
  <si>
    <t>Abelmoschus esculentus</t>
  </si>
  <si>
    <t>Okra, fruit</t>
  </si>
  <si>
    <t>A. esculentus</t>
  </si>
  <si>
    <t>Pit pit, raw</t>
  </si>
  <si>
    <t>Saccharum edule</t>
  </si>
  <si>
    <t>Aupa,raw</t>
  </si>
  <si>
    <t>Tulip,raw</t>
  </si>
  <si>
    <t>Gnetum gnemon</t>
  </si>
  <si>
    <t>Aibika, raw</t>
  </si>
  <si>
    <t>Hibiscus manihot</t>
  </si>
  <si>
    <t>Pumpkin tips, raw</t>
  </si>
  <si>
    <t>Curcurbita moschata</t>
  </si>
  <si>
    <t>Sago, raw</t>
  </si>
  <si>
    <t>Metrolyxon sagu</t>
  </si>
  <si>
    <t>Avocado, raw</t>
  </si>
  <si>
    <t>Persea americana</t>
  </si>
  <si>
    <t>Banana, raw</t>
  </si>
  <si>
    <t>Musa paradisiaca</t>
  </si>
  <si>
    <t>Indian plum, raw</t>
  </si>
  <si>
    <t>Flacourtia indica</t>
  </si>
  <si>
    <t>Guavas, raw</t>
  </si>
  <si>
    <t>Psidium guajava</t>
  </si>
  <si>
    <t>Mango, raw</t>
  </si>
  <si>
    <t>Mangifera indica</t>
  </si>
  <si>
    <t>Mango, boiled</t>
  </si>
  <si>
    <t>Musa spp.</t>
  </si>
  <si>
    <t>Bread fruit, seeds, raw</t>
  </si>
  <si>
    <t>Artocarpus altilis</t>
  </si>
  <si>
    <t>Coconut, raw</t>
  </si>
  <si>
    <t>Cocus nucifera</t>
  </si>
  <si>
    <t>Kwambi figs, raw</t>
  </si>
  <si>
    <t>Ficus spp.</t>
  </si>
  <si>
    <t>Locust, roasted</t>
  </si>
  <si>
    <t>Sago grubs</t>
  </si>
  <si>
    <t xml:space="preserve">Duck egg, boiled </t>
  </si>
  <si>
    <t>Crabs,boiled</t>
  </si>
  <si>
    <t>Chambo, smoked</t>
  </si>
  <si>
    <t>Oreochromis shiranus</t>
  </si>
  <si>
    <t>Chambo, dried</t>
  </si>
  <si>
    <t>Catfish, smoked</t>
  </si>
  <si>
    <t>Catfish, dried</t>
  </si>
  <si>
    <t>Matemba, dried</t>
  </si>
  <si>
    <t>Barbus paludinosus</t>
  </si>
  <si>
    <t>Usipa, dried</t>
  </si>
  <si>
    <t>Engraulicypris breianalis</t>
  </si>
  <si>
    <t>Chindazi, fried</t>
  </si>
  <si>
    <t>African cake, baked</t>
  </si>
  <si>
    <t>Chitembewa, fried</t>
  </si>
  <si>
    <t>African bread, boiled</t>
  </si>
  <si>
    <t>Sugar cane, raw</t>
  </si>
  <si>
    <t>Saccharum officinarum</t>
  </si>
  <si>
    <t>Sago pancakes</t>
  </si>
  <si>
    <t>Chinangwe</t>
  </si>
  <si>
    <t>Manihot esculenta, Crantz (Euphorb.)</t>
  </si>
  <si>
    <t>4 foods collected and pooled</t>
  </si>
  <si>
    <t>tu4</t>
  </si>
  <si>
    <t>Ghana, Greater Accra and Eastern</t>
  </si>
  <si>
    <t>Cassava,tuber, boiled</t>
  </si>
  <si>
    <t>Manihot sp.</t>
  </si>
  <si>
    <t>May-Dec,1989</t>
  </si>
  <si>
    <t>26 foods collected and pooled</t>
  </si>
  <si>
    <t>tu5</t>
  </si>
  <si>
    <t xml:space="preserve">Cassava, dough, fermented </t>
  </si>
  <si>
    <t>13 foods collected and pooled</t>
  </si>
  <si>
    <t>Brazil, Aracaju-SE</t>
  </si>
  <si>
    <t>Jari</t>
  </si>
  <si>
    <t xml:space="preserve">Cassava, Jari, tuber, yellow fleshed, peeled, raw </t>
  </si>
  <si>
    <t>Manihot esculenta, Crantz cv. BRS Jari</t>
  </si>
  <si>
    <t>havested 12 months after seeding</t>
  </si>
  <si>
    <t>CHO values seems wrong(not compiled)</t>
  </si>
  <si>
    <t>tu7</t>
  </si>
  <si>
    <t>Cassava, Jari, tuber, yellow fleshed, peeled, boiled</t>
  </si>
  <si>
    <t xml:space="preserve">havested 12 months after seeding. boiled in a pressure cooker(120 C) for 45 minutes. </t>
  </si>
  <si>
    <t xml:space="preserve">Cassava, Jari, tuber, yellow fleshed, peeled, fried </t>
  </si>
  <si>
    <t>havested 12 months after seeding. soybean oil was used for frying.</t>
  </si>
  <si>
    <t xml:space="preserve"> CHO values seems wrong(not compiled)</t>
  </si>
  <si>
    <t>Costa Rica,Fortuna and Pital, San Carlos, Huetar North region</t>
  </si>
  <si>
    <t>Yuca</t>
  </si>
  <si>
    <t>Cassava, tuber, peeled,boiled</t>
  </si>
  <si>
    <t>Manihot esculenta, Euphorbiaceae</t>
  </si>
  <si>
    <t>boiled for 20 minutes</t>
  </si>
  <si>
    <t>tu13</t>
  </si>
  <si>
    <t>Costa Rica,La Rita de Guapiles, Huetar Atlantica region</t>
  </si>
  <si>
    <t>Name</t>
  </si>
  <si>
    <t>Yam, tuber, peeled, boiled</t>
  </si>
  <si>
    <t>Dioscorea alata,Dioscoreaceae</t>
  </si>
  <si>
    <t>boiled for 15 minutes</t>
  </si>
  <si>
    <t>Costa Rica,Pital de San Carlos</t>
  </si>
  <si>
    <t>Tiquisque</t>
  </si>
  <si>
    <t xml:space="preserve">Cocoyam/tannia, tuber, peeled, boiled </t>
  </si>
  <si>
    <t>Xantosoma sp, Araceae</t>
  </si>
  <si>
    <t>boiled for 18 minutes</t>
  </si>
  <si>
    <t>Nigeria,Iie-Ife, Osun State</t>
  </si>
  <si>
    <t>Cassava,tuber, peeled,  sun-dried chips</t>
  </si>
  <si>
    <t>harvested at 10-12 months. Sun-dried at 32 degree with 55% humidity for 3 days</t>
  </si>
  <si>
    <t>the data are expressed in FW according to the author( sum of proximates is 100g)</t>
  </si>
  <si>
    <t>tu14</t>
  </si>
  <si>
    <t>Cassava,tuber, peeled, oven-dried, 50 degree</t>
  </si>
  <si>
    <t>harvested at 10-12 months. oven-dried at 50 degree for 48hours</t>
  </si>
  <si>
    <t>Cassava,tuber, peeled, oven-dried, 70 degree</t>
  </si>
  <si>
    <t>harvested at 10-12 months. oven-dried at 70 degree for 48hours</t>
  </si>
  <si>
    <t>Fiji</t>
  </si>
  <si>
    <t>Cassava, tuber, peeled, raw,</t>
  </si>
  <si>
    <t>the sum of moisture and macronutrients is 99.4g. Assumed it's fresh weight basis</t>
  </si>
  <si>
    <t>tu17</t>
  </si>
  <si>
    <t>Cassava, tuber, peeled, earth oven</t>
  </si>
  <si>
    <t>cooked for 1h15 min</t>
  </si>
  <si>
    <t>Cassava, tuber, peeled, boiled</t>
  </si>
  <si>
    <t>Achicha</t>
  </si>
  <si>
    <t>Cassava, tuber, peeled,chips</t>
  </si>
  <si>
    <t>Manihot utilissima Pohl</t>
  </si>
  <si>
    <t>dried in sun until brittle</t>
  </si>
  <si>
    <t>original data in DM converted to FW</t>
  </si>
  <si>
    <t>tu22</t>
  </si>
  <si>
    <t>Starch</t>
  </si>
  <si>
    <t>Cassava, tuber, peeled, starch</t>
  </si>
  <si>
    <t>the mash was mixed with water and sieved through a cloth. The upper layer was scrapped off and resultant was dried in the sun</t>
  </si>
  <si>
    <t>Lafu</t>
  </si>
  <si>
    <t>Cassava, tuber, peeled, flour</t>
  </si>
  <si>
    <t>soaked in water for 4 days  dried in the sun</t>
  </si>
  <si>
    <t>Akpu</t>
  </si>
  <si>
    <t>Cassava, tuber, boiled</t>
  </si>
  <si>
    <t>boiled in water and sliced into thin shreds, then dried in the sun</t>
  </si>
  <si>
    <t>Cassava, tuber,peeled, fermented, mash</t>
  </si>
  <si>
    <t>soaked in water for 4days.The central fibrous shaft of the pulp was removed. Dired in the sun.</t>
  </si>
  <si>
    <t>Pukuru</t>
  </si>
  <si>
    <t>Cassava, tuber,peeled, fermented, smoked</t>
  </si>
  <si>
    <t>soaked in water for 7 days.The central fibrous shaft were removed.</t>
  </si>
  <si>
    <t>Cassava, tuber,peeled, fermented, grated</t>
  </si>
  <si>
    <t>pressure was applied for 3-4days in a jute bag.Dried in sun</t>
  </si>
  <si>
    <t>Kpokpo gari</t>
  </si>
  <si>
    <t>Cassava, tuber, peeled,fermented, grated</t>
  </si>
  <si>
    <t>the mash was mixed with water and pressur was applied to eliminate some starch. Dried in sun.</t>
  </si>
  <si>
    <t>macronutrient values are in tu17. Assumed FW as the same values as in 2nd South Pacific FCT</t>
  </si>
  <si>
    <t>tu27</t>
  </si>
  <si>
    <t>&lt;5</t>
  </si>
  <si>
    <t>&lt;0.02</t>
  </si>
  <si>
    <t xml:space="preserve">Cassava, leaves, boiled </t>
  </si>
  <si>
    <t>boiled in salt water about 20 minutes</t>
  </si>
  <si>
    <t>1 sample collected and pooled</t>
  </si>
  <si>
    <t>Cote d'Ivoire, Abidjan district</t>
  </si>
  <si>
    <t>Cassava, leaves, raw</t>
  </si>
  <si>
    <t>oven-dried at 60 degree for 72 hour</t>
  </si>
  <si>
    <t>data are described on DM basis according to the author</t>
  </si>
  <si>
    <t>tu19</t>
  </si>
  <si>
    <t>[454]</t>
  </si>
  <si>
    <t>[184]</t>
  </si>
  <si>
    <t>Cote d'Ivoire, Dabou, Abidjan district</t>
  </si>
  <si>
    <t>Cassava, leaves, destalked, raw</t>
  </si>
  <si>
    <t>harvested at the early stage(between one and two weeks of the appearance of the leaves)</t>
  </si>
  <si>
    <t>data are described on DM basis according to the author. converted to FW</t>
  </si>
  <si>
    <t>tu20</t>
  </si>
  <si>
    <t>Cassava, leaves, destalked, boiled</t>
  </si>
  <si>
    <t>Flavonoid</t>
  </si>
  <si>
    <t>pH</t>
  </si>
  <si>
    <t>Miyuki Shimizu</t>
  </si>
  <si>
    <t xml:space="preserve">Adepoju OT, Adekola YG, Mustapha SO, and SI Ogunola. Effect of processing methods on nutrient retention and contribution of cassava to nutrient intake of Nigerian consumers . AJFAND Volume10 No.2 Feb 2010. </t>
  </si>
  <si>
    <t>Elaine L.Ferguson, Rosalind S.Gibson, Lilian U. Thompson. The mineral content of commonly consumed Malawian and Papua New Guinean Foods. Jornal of Food Composition and Analysis 2, 260-272(1989</t>
  </si>
  <si>
    <t>Elaine L.Ferguson, Rosalind S.Gibson, Lilian U. Thompson. Phytate, zinc, and calcium contents of 30 east african foods and their calculated phytate. Journal of Food Composition and Analysis 1, 316-325 (1988)</t>
  </si>
  <si>
    <t>E.L. Ferguson, R.S. Gibson,C.Opare-Obisaw. The zinc, calcium, copper, manganese, nonstarch polysaccharide and phytate content of sventy-eight locally grown and prepared African foods. Journal of Food Composition and Analysis 6, 87-99(1993)</t>
  </si>
  <si>
    <t>Gomes S, Torres AG, Godoy R, et al. Effects of boiling and frying on the bioaccessibility of β-carotene in yellow-fleshed cassava roots (Manihot esculenta Crantz cv. BRS Jari). Food Nutr Bull. 2013;34:65–74.</t>
  </si>
  <si>
    <t>Adriana Blanco-Metzler,Juscelino Tovar, Mireya Fernandez-Piedra. Caracterizacion nutricional de los carbohidratos y composicion centesimal de raices y tuberculos tropicales cocidos, cultivados en Costa Rica. ALAN v.54 n.3 Caracas sep.2004.</t>
  </si>
  <si>
    <t>Udoro Elohor Oghenechavwuko*, Gbadamosi Olasunkanmi Saka, Taiwo Kehinde Adekunbi and Akanbi Charles Taiwo. Effect of Processing on the Physico-Chemical Properties and Yield of Gari. , J Food Process Technol 2013, 4:8. 
from Dried Chips</t>
  </si>
  <si>
    <t>Shailesh Kumar,Bill Aalbersberg. Nutrient retention in foods after earth-oven cooking compared to other forms of domestic cooking 1. Proximates, carbohydrates and dietary fibre.  Journal of Food Composition and Analysis 19 (2006) 302–310.</t>
  </si>
  <si>
    <t>Armel F. ZORO, Lessoy T. ZOUE, Severin A.K. KRA, Arnaud E. YEPIE and Sebastien L. NIAMKE. An Overview of Nutritive Potential of Leafy Vegetables Consumed in Western Côte d’Ivoire. Pakistan Journal of Nutrition. Year: 2013 | Volume: 12 | Issue: 10 | Page No.: 949-956</t>
  </si>
  <si>
    <t xml:space="preserve">A. F. Zoro, *L. T. Zoué, M. E. Bédikou, S. A. Kra and S. L. Niamké. Effect of cooking on nutritive and antioxidant characteristics of leafy 
vegetables consumed in Western Côte d’Ivoire . Scholars Research Library
Archives of Applied Science Research, 2014, 6 (4):114-123
</t>
  </si>
  <si>
    <t>Longe, O.G. Effect of processing on the chemical composition and energy value of cassava. Nutrition Reports International. 1980. Volume: 21 Issue: 6 Page: 819 - 828</t>
  </si>
  <si>
    <t>Shailesh Kumar,Bill Aalbersberg. Nutrient retention in foods after earth-oven cooking compared to other forms of domestic cooking. 2 Vitamins. Journal of Food Composition and Analysis 19 (2006) 311–320</t>
  </si>
  <si>
    <t>0500603</t>
  </si>
  <si>
    <t>0500604</t>
  </si>
  <si>
    <t>0500605</t>
  </si>
  <si>
    <t>0500606</t>
  </si>
  <si>
    <t>0500607</t>
  </si>
  <si>
    <t>0500608</t>
  </si>
  <si>
    <t>0500609</t>
  </si>
  <si>
    <t>0500610</t>
  </si>
  <si>
    <t>0500611</t>
  </si>
  <si>
    <t>0500612</t>
  </si>
  <si>
    <t>0500613</t>
  </si>
  <si>
    <t>0500614</t>
  </si>
  <si>
    <t>0500615</t>
  </si>
  <si>
    <t>0500616</t>
  </si>
  <si>
    <t>0500617</t>
  </si>
  <si>
    <t>0500618</t>
  </si>
  <si>
    <t>0500619</t>
  </si>
  <si>
    <t>0500620</t>
  </si>
  <si>
    <t>0500621</t>
  </si>
  <si>
    <t>0902183</t>
  </si>
  <si>
    <t>0902184</t>
  </si>
  <si>
    <t>0902185</t>
  </si>
  <si>
    <t>0902186</t>
  </si>
  <si>
    <t>0902187</t>
  </si>
  <si>
    <t>0902188</t>
  </si>
  <si>
    <t>0902189</t>
  </si>
  <si>
    <t>0100104</t>
  </si>
  <si>
    <t>0100105</t>
  </si>
  <si>
    <t>0100106</t>
  </si>
  <si>
    <t>0100107</t>
  </si>
  <si>
    <t>0100108</t>
  </si>
  <si>
    <t>0100109</t>
  </si>
  <si>
    <t>0100110</t>
  </si>
  <si>
    <t>Carotenoid, total</t>
  </si>
  <si>
    <t>Bangladesh, Mymensingh</t>
  </si>
  <si>
    <t>Bangladesh, Khulna</t>
  </si>
  <si>
    <t>Bangladesh, Sylhet</t>
  </si>
  <si>
    <t>Norway, Seven locations from Stavanger to Trondheim</t>
  </si>
  <si>
    <t>Norway, Ten locations from Bergen to Ofoten</t>
  </si>
  <si>
    <t>Norway, more than eight locations from Bergen to Kirkenes</t>
  </si>
  <si>
    <t>PTG</t>
  </si>
  <si>
    <t>Common Carp</t>
  </si>
  <si>
    <t>Grass Carp</t>
  </si>
  <si>
    <t>Silver Carp</t>
  </si>
  <si>
    <t>Thai Pangas</t>
  </si>
  <si>
    <t>Majhari Thai Pangas</t>
  </si>
  <si>
    <t>Thai Sarpunti</t>
  </si>
  <si>
    <t>Majhari Tilapia</t>
  </si>
  <si>
    <t>Kveite</t>
  </si>
  <si>
    <t>Torsk</t>
  </si>
  <si>
    <t>Laks</t>
  </si>
  <si>
    <t>Catla, farmed, raw</t>
  </si>
  <si>
    <t>Mrigal carp, farmed, raw</t>
  </si>
  <si>
    <t>Roho labeo, farmed, raw</t>
  </si>
  <si>
    <t>Common carp, farmed, raw</t>
  </si>
  <si>
    <t>Grass carp (= White amur), farmed, raw</t>
  </si>
  <si>
    <t>Silver carp, farmed, raw</t>
  </si>
  <si>
    <t>Striped catfish, farmed, raw</t>
  </si>
  <si>
    <t>Silver barb, farmed, raw</t>
  </si>
  <si>
    <t>Nile tilapia, farmed, raw</t>
  </si>
  <si>
    <t>Atlantic halibut, farmed, raw</t>
  </si>
  <si>
    <t>Cod, farmed, raw</t>
  </si>
  <si>
    <t>Salmon, farmed, raw</t>
  </si>
  <si>
    <t>Trout, farmed, raw</t>
  </si>
  <si>
    <t>Ctenopharyngodon idella</t>
  </si>
  <si>
    <t>Pangasianodon hypophthalmus</t>
  </si>
  <si>
    <t>Pangasianodon hypophthalmus (juvenile)</t>
  </si>
  <si>
    <t>Barbonymus gonionotus</t>
  </si>
  <si>
    <t>Oreochromis niloticus (juvenile)</t>
  </si>
  <si>
    <t>Hippoglossus hippoglossus</t>
  </si>
  <si>
    <t>Grass carp (= White amur)</t>
  </si>
  <si>
    <t>Silver barb</t>
  </si>
  <si>
    <t>Atlantic halibut</t>
  </si>
  <si>
    <t>Jul-Sep 2012</t>
  </si>
  <si>
    <t>Feb, Dec 2007</t>
  </si>
  <si>
    <t>May-Nov 2007</t>
  </si>
  <si>
    <t>Dec 2007-Jan 2008</t>
  </si>
  <si>
    <t>Feb-Nov 2008</t>
  </si>
  <si>
    <t>Anatomical parts excluded prior to analysis: Bones, viscera, fins, scales, gills.</t>
  </si>
  <si>
    <t>Anatomical parts excluded prior to analysis: Bones, viscera, scales, fins, gills, snout, operculum.</t>
  </si>
  <si>
    <t>Anatomical parts excluded prior to analysis: Bones, viscera, fins, scales, gills, operculum.</t>
  </si>
  <si>
    <t>Anatomical parts excluded prior to analysis: Bones, viscera, gills, fins, operculum.</t>
  </si>
  <si>
    <t>Anatomical parts excluded prior to analysis: Bones, viscera, fins, barbel.</t>
  </si>
  <si>
    <t>[Muscle B cut]</t>
  </si>
  <si>
    <t>[Norwegian Quality cut, Muscle B cut]</t>
  </si>
  <si>
    <t>[Norwegian Quality cut, Muscle A and B cut]</t>
  </si>
  <si>
    <t>2012</t>
  </si>
  <si>
    <t>AD</t>
  </si>
  <si>
    <t>RETOLSUM(mcg)</t>
  </si>
  <si>
    <t>summation, retinol = trans-retinol + cis-retinol</t>
  </si>
  <si>
    <t>&lt;2.8</t>
  </si>
  <si>
    <t>Total vitamin A (mcg RAE)</t>
  </si>
  <si>
    <t>6</t>
  </si>
  <si>
    <t>ERGCAL(mcg)</t>
  </si>
  <si>
    <t>Vitamin D2 (mcg)</t>
  </si>
  <si>
    <t>&lt;1</t>
  </si>
  <si>
    <t>CHOCALOH(mcg)</t>
  </si>
  <si>
    <t>&lt;0.05</t>
  </si>
  <si>
    <t>THIAHCL(mg)</t>
  </si>
  <si>
    <t>Thiamin hydrochloride</t>
  </si>
  <si>
    <t>&lt;0.1</t>
  </si>
  <si>
    <t>&lt;0.3</t>
  </si>
  <si>
    <t>VITB6C(mg)</t>
  </si>
  <si>
    <t>Vitamin B6, total; determined by sumation</t>
  </si>
  <si>
    <t>fatty acids, total n-3 polyunsaturated in cis configuration</t>
  </si>
  <si>
    <t>fatty acids, total n-3 long-chain polyunsaturated in cis configuration</t>
  </si>
  <si>
    <t>fatty acids, total n-6 polyunsaturated in cis configuration</t>
  </si>
  <si>
    <t>fatty acids, total n-9 polyunsaturated in cis configuration</t>
  </si>
  <si>
    <t>F18D1N6(g)</t>
  </si>
  <si>
    <t>fatty acid 18:1 n-6</t>
  </si>
  <si>
    <t>F20D1N11_A_F20D1N13</t>
  </si>
  <si>
    <t>F22D1N11_A_F22D1N13</t>
  </si>
  <si>
    <t>Arnaud Deladeriere</t>
  </si>
  <si>
    <t>fi367</t>
  </si>
  <si>
    <t>J.R. Bogard, S.H. Thilsted, G.C. Marks, M.A. Wahab, M.A.R. Hossain, J. Jakobsen, J. Stangoulis. Nutrient composition of important fish species in Bangladesh and potential contribution to recommended nutrient intakes. Journal of Food Composition and Analysis 42 (2015) 120–133</t>
  </si>
  <si>
    <t>fi361</t>
  </si>
  <si>
    <t>Myhre J.B., Borgejordet Å., Nordbotten A., Løken E.B. &amp; Fagerli R.A. (2012). Nutritional composition of selected wild and farmed raw fish. University of Oslo, Norwegian Food Safety Authority &amp; Norwegian Directorate of Health.</t>
  </si>
  <si>
    <t>0902190</t>
  </si>
  <si>
    <t>0902191</t>
  </si>
  <si>
    <t>0902192</t>
  </si>
  <si>
    <t>0902193</t>
  </si>
  <si>
    <t>0902194</t>
  </si>
  <si>
    <t>0902195</t>
  </si>
  <si>
    <t>0902196</t>
  </si>
  <si>
    <t>0902197</t>
  </si>
  <si>
    <t>0902198</t>
  </si>
  <si>
    <t>0902199</t>
  </si>
  <si>
    <t>0902200</t>
  </si>
  <si>
    <t>0902201</t>
  </si>
  <si>
    <t>0902202</t>
  </si>
  <si>
    <t>0902203</t>
  </si>
  <si>
    <t>0902204</t>
  </si>
  <si>
    <t>0202010</t>
  </si>
  <si>
    <t>0202011</t>
  </si>
  <si>
    <t>0202012</t>
  </si>
  <si>
    <t>0202013</t>
  </si>
  <si>
    <t>0202014</t>
  </si>
  <si>
    <t>0202015</t>
  </si>
  <si>
    <t>0202016</t>
  </si>
  <si>
    <t>0202017</t>
  </si>
  <si>
    <t>0202018</t>
  </si>
  <si>
    <t>0202019</t>
  </si>
  <si>
    <t>0202020</t>
  </si>
  <si>
    <t>0202021</t>
  </si>
  <si>
    <t>0202022</t>
  </si>
  <si>
    <t>0202023</t>
  </si>
  <si>
    <t>0202024</t>
  </si>
  <si>
    <t>0202025</t>
  </si>
  <si>
    <t>0202026</t>
  </si>
  <si>
    <t>0202027</t>
  </si>
  <si>
    <t>0202028</t>
  </si>
  <si>
    <t>0202029</t>
  </si>
  <si>
    <t>0202030</t>
  </si>
  <si>
    <t>0202031</t>
  </si>
  <si>
    <t>0202032</t>
  </si>
  <si>
    <t>0202033</t>
  </si>
  <si>
    <t>0202034</t>
  </si>
  <si>
    <t>0202035</t>
  </si>
  <si>
    <t>0202036</t>
  </si>
  <si>
    <t>0202037</t>
  </si>
  <si>
    <t>0202038</t>
  </si>
  <si>
    <t>0202039</t>
  </si>
  <si>
    <t>0202040</t>
  </si>
  <si>
    <t>0202041</t>
  </si>
  <si>
    <t>0202042</t>
  </si>
  <si>
    <t>0202043</t>
  </si>
  <si>
    <t>0202044</t>
  </si>
  <si>
    <t>0202045</t>
  </si>
  <si>
    <t>0202046</t>
  </si>
  <si>
    <t>0202047</t>
  </si>
  <si>
    <t>0202048</t>
  </si>
  <si>
    <t>0202049</t>
  </si>
  <si>
    <t>0202050</t>
  </si>
  <si>
    <t>0202051</t>
  </si>
  <si>
    <t>0202052</t>
  </si>
  <si>
    <t>0202053</t>
  </si>
  <si>
    <t>0202054</t>
  </si>
  <si>
    <t>0202055</t>
  </si>
  <si>
    <t>0202056</t>
  </si>
  <si>
    <t>0202057</t>
  </si>
  <si>
    <t>List of components AnFooD1.1</t>
  </si>
  <si>
    <t>Vitamin K</t>
  </si>
  <si>
    <t>VITK1</t>
  </si>
  <si>
    <t>VITK2</t>
  </si>
  <si>
    <t>Vitamin K-1</t>
  </si>
  <si>
    <t>Vitamin K-2</t>
  </si>
  <si>
    <t>Fatty acid 20:1 n-11 + fatty acid 20:1 n-13</t>
  </si>
  <si>
    <t>Fatty acid 22:1 n-11 + fatty acid 22:1 n-13</t>
  </si>
  <si>
    <t>ERGCAL</t>
  </si>
  <si>
    <t>RETOLSUM</t>
  </si>
  <si>
    <t>CARTOID</t>
  </si>
  <si>
    <t>carotenoids, total</t>
  </si>
  <si>
    <t>THIAHCL</t>
  </si>
  <si>
    <t>Vitamin B1 analysed and expressed as thiamin hydrochloride</t>
  </si>
  <si>
    <t>VITB6C</t>
  </si>
  <si>
    <t>Vitamin B-6, total; calculated by summation</t>
  </si>
  <si>
    <t>FA converted using XFA. Aminoacids values were not included (very low or very high values).</t>
  </si>
  <si>
    <t>[21.5]</t>
  </si>
  <si>
    <t>Minerals expressed per DM - conversion to FW; Vitamins assumed to be expressed on a FW basis. Minerals and vitamin A data were not included (very low or very high values).</t>
  </si>
  <si>
    <t>Norway, more than sixteen locations, from Flekkefjord to Tromsø</t>
  </si>
  <si>
    <r>
      <t>Regnbu</t>
    </r>
    <r>
      <rPr>
        <sz val="11"/>
        <color indexed="8"/>
        <rFont val="Calibri"/>
        <family val="2"/>
      </rPr>
      <t>ø</t>
    </r>
    <r>
      <rPr>
        <sz val="10"/>
        <color indexed="8"/>
        <rFont val="Calibri"/>
        <family val="2"/>
      </rPr>
      <t>rret</t>
    </r>
  </si>
  <si>
    <t>energy, total metabolizable; calculated from the energy-producing food components (original as from source)</t>
  </si>
  <si>
    <t>water</t>
  </si>
  <si>
    <t xml:space="preserve">protein, total; calculated from total nitrogen </t>
  </si>
  <si>
    <t>protein, total; method of determination unknown or variable</t>
  </si>
  <si>
    <t>fat, total</t>
  </si>
  <si>
    <t>fat, total; derived by analysis using continuous extraction</t>
  </si>
  <si>
    <t>fat; method of determination unknown or mixed methods</t>
  </si>
  <si>
    <t>carbohydrate, available; calculated by difference</t>
  </si>
  <si>
    <t>carbohydrate, total; calculated by difference</t>
  </si>
  <si>
    <t>starch, available</t>
  </si>
  <si>
    <t>starch, resistant RS3</t>
  </si>
  <si>
    <t>fibre, crude</t>
  </si>
  <si>
    <t>ash</t>
  </si>
  <si>
    <t>calcium</t>
  </si>
  <si>
    <t>copper</t>
  </si>
  <si>
    <t>iron, total</t>
  </si>
  <si>
    <t>potassium</t>
  </si>
  <si>
    <t>magnesium</t>
  </si>
  <si>
    <t>manganese</t>
  </si>
  <si>
    <t>sodium</t>
  </si>
  <si>
    <t>phosphorus</t>
  </si>
  <si>
    <t>zink</t>
  </si>
  <si>
    <t>thiamin</t>
  </si>
  <si>
    <t>riboflavin</t>
  </si>
  <si>
    <t>niacin; method or form unknown</t>
  </si>
  <si>
    <t xml:space="preserve">vitamin C </t>
  </si>
  <si>
    <t>fructose</t>
  </si>
  <si>
    <t>fatty acid 16:0</t>
  </si>
  <si>
    <t>fatty acid 18:0</t>
  </si>
  <si>
    <t>fatty acid 18:1</t>
  </si>
  <si>
    <t>fatty acid 18:2</t>
  </si>
  <si>
    <t>fatty acid 18:3</t>
  </si>
  <si>
    <t>oxalic acid</t>
  </si>
  <si>
    <t>amylose</t>
  </si>
  <si>
    <t>fibre; method unknown or variable</t>
  </si>
  <si>
    <t>glucose</t>
  </si>
  <si>
    <t>xylose</t>
  </si>
  <si>
    <t>maltose</t>
  </si>
  <si>
    <t>galactose</t>
  </si>
  <si>
    <t>ribose</t>
  </si>
  <si>
    <t>wax, total</t>
  </si>
  <si>
    <t>fatty acids, total free</t>
  </si>
  <si>
    <t>monoglycerides, total</t>
  </si>
  <si>
    <t>diglycerides, total</t>
  </si>
  <si>
    <t>triglycerides, total</t>
  </si>
  <si>
    <t>Phosphatidic Acid</t>
  </si>
  <si>
    <t>PHOINOTL(mg)</t>
  </si>
  <si>
    <t>phosphatidyl choline</t>
  </si>
  <si>
    <t>fatty acid 12:0</t>
  </si>
  <si>
    <t>fatty acid 13:0</t>
  </si>
  <si>
    <t>fatty acid 14:0</t>
  </si>
  <si>
    <t>fatty acid 15:0</t>
  </si>
  <si>
    <t>fatty acid 17:0</t>
  </si>
  <si>
    <t>fatty acid 20:0</t>
  </si>
  <si>
    <t>fatty acid 21:0</t>
  </si>
  <si>
    <t>fatty acid 22:0</t>
  </si>
  <si>
    <t>fatty acid 24:0</t>
  </si>
  <si>
    <t>fatty acid 16:1</t>
  </si>
  <si>
    <t>fatty acid 20:1</t>
  </si>
  <si>
    <t>fatty acid 22:1</t>
  </si>
  <si>
    <t>fatty acid 24:1</t>
  </si>
  <si>
    <t>fatty acid 16:2</t>
  </si>
  <si>
    <t>fatty acid 20:2</t>
  </si>
  <si>
    <t>fatty acid 22:2</t>
  </si>
  <si>
    <t>alanine</t>
  </si>
  <si>
    <t>arginine</t>
  </si>
  <si>
    <t>asparagine</t>
  </si>
  <si>
    <t>cystine</t>
  </si>
  <si>
    <t>glutamic acid</t>
  </si>
  <si>
    <t>glycine</t>
  </si>
  <si>
    <t>histidine</t>
  </si>
  <si>
    <t>isoleucine</t>
  </si>
  <si>
    <t>leucine</t>
  </si>
  <si>
    <t>lysine</t>
  </si>
  <si>
    <t>methionine</t>
  </si>
  <si>
    <t>phenylalanine</t>
  </si>
  <si>
    <t>proline</t>
  </si>
  <si>
    <t>serine</t>
  </si>
  <si>
    <t>threonine</t>
  </si>
  <si>
    <t>tryptophan</t>
  </si>
  <si>
    <t>tyrosine</t>
  </si>
  <si>
    <t>valine</t>
  </si>
  <si>
    <t>amino acids, total aromatic</t>
  </si>
  <si>
    <t>aspartic acid</t>
  </si>
  <si>
    <t>fibre; determined by neutral detergent method</t>
  </si>
  <si>
    <t>fibre; determined by acid detergent method</t>
  </si>
  <si>
    <t>tannin, total</t>
  </si>
  <si>
    <t>phytic acid</t>
  </si>
  <si>
    <t>phenolic acids, total</t>
  </si>
  <si>
    <t xml:space="preserve">Total flavonoids </t>
  </si>
  <si>
    <t>PHENAC(g)</t>
  </si>
  <si>
    <t xml:space="preserve">data are expresesd in edible portion </t>
  </si>
  <si>
    <t>ENERA(kJ)</t>
  </si>
  <si>
    <t>energy, total metabolizable; calculated from the energy-producing food components (original as from source)12</t>
  </si>
  <si>
    <t>energy, gross; determined by direct analysis using bomb calorimetry</t>
  </si>
  <si>
    <t>edible portion coefficient</t>
  </si>
  <si>
    <t>nitrogen, total</t>
  </si>
  <si>
    <t>fatty acids, total saturated</t>
  </si>
  <si>
    <t>fatty acids, total polyunsaturated</t>
  </si>
  <si>
    <t>other fatty acids, not specified</t>
  </si>
  <si>
    <t>carbohydrate; method of determination unknown or variable</t>
  </si>
  <si>
    <t>glycogen</t>
  </si>
  <si>
    <t>fibre, total dietary; determined gravimetrically by the AOAC total dietary fibre method (Prosky and similar methods)</t>
  </si>
  <si>
    <t xml:space="preserve">fibre; determined by acid detergent method </t>
  </si>
  <si>
    <t>fibre; method of determination unknown or variable</t>
  </si>
  <si>
    <t>celloluse</t>
  </si>
  <si>
    <t>lignin</t>
  </si>
  <si>
    <t xml:space="preserve">chloride </t>
  </si>
  <si>
    <t>cobalt</t>
  </si>
  <si>
    <t>chromium</t>
  </si>
  <si>
    <t>iodine</t>
  </si>
  <si>
    <t>molybdenum</t>
  </si>
  <si>
    <t>nickel</t>
  </si>
  <si>
    <t>SI(mcg)</t>
  </si>
  <si>
    <t>sulphur</t>
  </si>
  <si>
    <t>selenium</t>
  </si>
  <si>
    <t>silicon</t>
  </si>
  <si>
    <t>arsenic</t>
  </si>
  <si>
    <t>barium</t>
  </si>
  <si>
    <t>cadmium</t>
  </si>
  <si>
    <t>lead</t>
  </si>
  <si>
    <t>strontium</t>
  </si>
  <si>
    <t>RETOL(IU)</t>
  </si>
  <si>
    <t>VITAACT(mcg)</t>
  </si>
  <si>
    <t>vitamin A retinol activity equivalent (RAE); calculated by summation of the vitamin A activities of retinol and the active carotenoids</t>
  </si>
  <si>
    <t>retinol</t>
  </si>
  <si>
    <t>retinol14</t>
  </si>
  <si>
    <t>dehydroretinol</t>
  </si>
  <si>
    <t>vitamin A acetate</t>
  </si>
  <si>
    <t>vitamin A; method of determination unknown</t>
  </si>
  <si>
    <t>vitamin A; method of determination unknown15</t>
  </si>
  <si>
    <t>carotene, total trans</t>
  </si>
  <si>
    <t>alpha-carotene</t>
  </si>
  <si>
    <t>beta-carotene</t>
  </si>
  <si>
    <t>beta-carotene cis</t>
  </si>
  <si>
    <t>CHOCAL(IU)</t>
  </si>
  <si>
    <t>VITD-(mcg)</t>
  </si>
  <si>
    <t>TOCPHA(IU)</t>
  </si>
  <si>
    <t>VITE-(IU)</t>
  </si>
  <si>
    <t>beta-cryptoxanthin</t>
  </si>
  <si>
    <t>lutein</t>
  </si>
  <si>
    <t>lycopene</t>
  </si>
  <si>
    <t>zeaxanthin</t>
  </si>
  <si>
    <t>cholecalciferol</t>
  </si>
  <si>
    <t>25-hydroxycholecalciferol</t>
  </si>
  <si>
    <t>vitamin D; method unknown or variable</t>
  </si>
  <si>
    <t>vitamin E; calculated by summation of the vitamin E activities of the active tocopherols and tocotrienols; expressed as alpha-tocopherol equivalents</t>
  </si>
  <si>
    <t>alpha-tocopherol16</t>
  </si>
  <si>
    <t>vitamin E; method or determination unknown or variable</t>
  </si>
  <si>
    <t>pyridoxine</t>
  </si>
  <si>
    <t>NIAEQ(mg)</t>
  </si>
  <si>
    <t>niacin equivalents, total</t>
  </si>
  <si>
    <t>niacin, preformed</t>
  </si>
  <si>
    <t>BIOT(mcg)</t>
  </si>
  <si>
    <t>GLYLIP(g)</t>
  </si>
  <si>
    <t>F15D0AI(g)</t>
  </si>
  <si>
    <t>F14D1CN5(g)</t>
  </si>
  <si>
    <t>F15D1N10(g)</t>
  </si>
  <si>
    <t>F16D1CN7(g)</t>
  </si>
  <si>
    <t>F16D1C(g)</t>
  </si>
  <si>
    <t>F17D1N10(g)</t>
  </si>
  <si>
    <t>F17D1CN8(g)</t>
  </si>
  <si>
    <t>F17D1CN7(g)</t>
  </si>
  <si>
    <t>F18D1TN8(g)</t>
  </si>
  <si>
    <t>F18D1TN7(g)</t>
  </si>
  <si>
    <t>F18D1CN6(g)</t>
  </si>
  <si>
    <t>F18D1TN6(g)</t>
  </si>
  <si>
    <t>F18D1CN5(g)</t>
  </si>
  <si>
    <t>F18D1CN4(g)</t>
  </si>
  <si>
    <t>F18D1CN3(g)</t>
  </si>
  <si>
    <t>F18D1TN3(g)</t>
  </si>
  <si>
    <t>F18D1TN2(g)</t>
  </si>
  <si>
    <t>F20D1CN9(g)</t>
  </si>
  <si>
    <t>F24D1CN9(g)</t>
  </si>
  <si>
    <t>F18D2C9T11(g)</t>
  </si>
  <si>
    <t>F18D2T10C12(g)</t>
  </si>
  <si>
    <t>F18D2TCON(g)</t>
  </si>
  <si>
    <t>F22D2CN6(g)</t>
  </si>
  <si>
    <t>F18D4CN3(g)</t>
  </si>
  <si>
    <t>F18D1TN10_A_F18D1TN12(g)</t>
  </si>
  <si>
    <t>F18D1TN4_A_F18D1TN5(g)</t>
  </si>
  <si>
    <t>F20D3N3_A_F20D4N6(g)</t>
  </si>
  <si>
    <t>AAE8(mg)</t>
  </si>
  <si>
    <t>AAT19(mg)</t>
  </si>
  <si>
    <t>AAT24(mg)</t>
  </si>
  <si>
    <t>CYSTE(mg)</t>
  </si>
  <si>
    <t>ORN(mg)</t>
  </si>
  <si>
    <t>GLY_A_SER(mg)</t>
  </si>
  <si>
    <t>AMMON(mg)</t>
  </si>
  <si>
    <t>CHITIN(g)</t>
  </si>
  <si>
    <t>CHOLN(mg)</t>
  </si>
  <si>
    <t>pantothenic acid</t>
  </si>
  <si>
    <t>vitamin B-6; method unknown or variable</t>
  </si>
  <si>
    <t>folate; method unknown or variable</t>
  </si>
  <si>
    <t xml:space="preserve">biotin </t>
  </si>
  <si>
    <t>vitamin B-12</t>
  </si>
  <si>
    <t>vitamin C; method unknown or variable</t>
  </si>
  <si>
    <t>cholesterol; determined by enzymatic or chromatographic method</t>
  </si>
  <si>
    <t>glycolipids, total</t>
  </si>
  <si>
    <t>phospholipids, total</t>
  </si>
  <si>
    <t>fatty acids, total</t>
  </si>
  <si>
    <t>fatty acids, total n-3 polyunsaturated</t>
  </si>
  <si>
    <t>fatty acids, total n-6 polyunsaturated</t>
  </si>
  <si>
    <t>fatty acid 6:0</t>
  </si>
  <si>
    <t>fatty acid 8:0</t>
  </si>
  <si>
    <t>fatty acid 10:0</t>
  </si>
  <si>
    <t>fatty acid 15:0 iso</t>
  </si>
  <si>
    <t>fatty acid 15:0 anteiso</t>
  </si>
  <si>
    <t>fatty acid 17:0 iso</t>
  </si>
  <si>
    <t>fatty acid 17:0 anteiso</t>
  </si>
  <si>
    <t>fatty acid 19:0</t>
  </si>
  <si>
    <t>fatty acid 23:0</t>
  </si>
  <si>
    <t>fatty acid 12:1</t>
  </si>
  <si>
    <t>fatty acid 14:1 n-9</t>
  </si>
  <si>
    <t>fatty acid 14:1 n-7</t>
  </si>
  <si>
    <t>fatty acid 14:1 cis n-5</t>
  </si>
  <si>
    <t>fatty acid 14:1 n-5</t>
  </si>
  <si>
    <t>fatty acid 14:1</t>
  </si>
  <si>
    <t>fatty acid 15:1 n-10</t>
  </si>
  <si>
    <t>fatty acid 15:1</t>
  </si>
  <si>
    <t>fatty acid 16:1 n-9</t>
  </si>
  <si>
    <t>fatty acid 16:1 cis n-7</t>
  </si>
  <si>
    <t>fatty acid 16:1 trans n-7</t>
  </si>
  <si>
    <t>fatty acid 16:1 n-7</t>
  </si>
  <si>
    <t>fatty acid 16:1 cis</t>
  </si>
  <si>
    <t>fatty acid 17:1 n-10</t>
  </si>
  <si>
    <t>fatty acid 17:1 cis n-8</t>
  </si>
  <si>
    <t>fatty acid 17:1 cis n-7</t>
  </si>
  <si>
    <t>fatty acid 17:1 n-7</t>
  </si>
  <si>
    <t>fatty acid 17:1</t>
  </si>
  <si>
    <t>fatty acid 18:1 n-11</t>
  </si>
  <si>
    <t>fatty acid 18:1 trans n-11</t>
  </si>
  <si>
    <t>fatty acid 18:1 cis n-9</t>
  </si>
  <si>
    <t>fatty acid 18:1 trans n-9</t>
  </si>
  <si>
    <t>fatty acid 18:1 n-9</t>
  </si>
  <si>
    <t>fatty acid 18:1 trans n-8</t>
  </si>
  <si>
    <t>fatty acid 18:1 cis n-7</t>
  </si>
  <si>
    <t>fatty acid 18:1 trans n-7</t>
  </si>
  <si>
    <t>fatty acid 18:1 n-7</t>
  </si>
  <si>
    <t>fatty acid 18:1 cis n-6</t>
  </si>
  <si>
    <t>fatty acid 18:1 trans n-6</t>
  </si>
  <si>
    <t>fatty acid 18:1 cis n-5</t>
  </si>
  <si>
    <t>fatty acid 18:1 cis n-4</t>
  </si>
  <si>
    <t>fatty acid 18:1 cis n-3</t>
  </si>
  <si>
    <t>fatty acid 18:1 trans n-3</t>
  </si>
  <si>
    <t>fatty acid 18:1 trans n-2</t>
  </si>
  <si>
    <t>fatty acid 18:1 trans</t>
  </si>
  <si>
    <t>fatty acid 20:1 cis n-11</t>
  </si>
  <si>
    <t>fatty acid 20:1 cis n-9</t>
  </si>
  <si>
    <t>fatty acid 20:1 n-9</t>
  </si>
  <si>
    <t>fatty acid 24:1 cis n-9</t>
  </si>
  <si>
    <t>fatty acid 16:2 n-6</t>
  </si>
  <si>
    <t>fatty acid 18:2 n-7 cis9, trans11, conjugated</t>
  </si>
  <si>
    <t>fatty acid 18:2 cis n-6</t>
  </si>
  <si>
    <t>fatty acid 18:2 trans n-6</t>
  </si>
  <si>
    <t>fatty acid1 8:2 n-6 trans10, cis12, conjugated</t>
  </si>
  <si>
    <t>fatty acid 18:2 n-6</t>
  </si>
  <si>
    <t>fatty acid 18:2 cis trans conjugated</t>
  </si>
  <si>
    <t>fatty acid 20:2 n-6</t>
  </si>
  <si>
    <t>fatty acid 22:2 cis n-6</t>
  </si>
  <si>
    <t>fatty acid 22:2 n-6</t>
  </si>
  <si>
    <t>fatty acid 18:3 cis n-6</t>
  </si>
  <si>
    <t>fatty acid 18:3 n-6</t>
  </si>
  <si>
    <t>fatty acid 18:3 cis n-3</t>
  </si>
  <si>
    <t>fatty acid 18:3 n-3</t>
  </si>
  <si>
    <t>fatty acid 20:3</t>
  </si>
  <si>
    <t>fatty acid 20:3 n-6</t>
  </si>
  <si>
    <t>fatty acid 20:3 n-3</t>
  </si>
  <si>
    <t>fatty acid 22:3 n-6</t>
  </si>
  <si>
    <t>fatty acid 22:3 n-3</t>
  </si>
  <si>
    <t>fatty acid 18:4 cis n-3</t>
  </si>
  <si>
    <t>fatty acid 18:4 n-3</t>
  </si>
  <si>
    <t>fatty acid 20:4 cis n-6</t>
  </si>
  <si>
    <t>fatty acid 20:4 n-6</t>
  </si>
  <si>
    <t>fatty acid 20:4 n-3</t>
  </si>
  <si>
    <t>fatty acid 20:4</t>
  </si>
  <si>
    <t>fatty acid 22:4 n-6</t>
  </si>
  <si>
    <t>fatty acid 20:5 cis n-3</t>
  </si>
  <si>
    <t>fatty acid 20:5 n-3</t>
  </si>
  <si>
    <t>fatty acid 22:5 n-3</t>
  </si>
  <si>
    <t xml:space="preserve">fatty acid 22:6 </t>
  </si>
  <si>
    <t>fatty acid 22:6 cis n-3</t>
  </si>
  <si>
    <t>fatty acid 22:6 n-3</t>
  </si>
  <si>
    <t>fatty acid 18:1 trans n-10 + fatty acid 18:1 trans n-12</t>
  </si>
  <si>
    <t>fatty acid 18:1 trans n-4 + fatty acid 18:1 trans n-5</t>
  </si>
  <si>
    <t>fatty acid 20: n-3 + fatty acid 20:4 n-6</t>
  </si>
  <si>
    <t>amino acids, total essential (8)</t>
  </si>
  <si>
    <t>sum of 19 amino acids (excluding tryptophan)</t>
  </si>
  <si>
    <t>amino acids, total</t>
  </si>
  <si>
    <t>amino acids, total sulphur-containing (CYS + MET)</t>
  </si>
  <si>
    <t>amino acids, total; precise definition not specified</t>
  </si>
  <si>
    <t>amino acids, total essential; unknown or variable which AS are included in total</t>
  </si>
  <si>
    <t>amino acids, total non-essential</t>
  </si>
  <si>
    <t>cysteine</t>
  </si>
  <si>
    <t>glutamine</t>
  </si>
  <si>
    <t>ornithine</t>
  </si>
  <si>
    <t>taurine</t>
  </si>
  <si>
    <t>glycine + serine</t>
  </si>
  <si>
    <t>ammonia</t>
  </si>
  <si>
    <t>chitin</t>
  </si>
  <si>
    <t>squalene</t>
  </si>
  <si>
    <t>sterols, total</t>
  </si>
  <si>
    <t>choline, total</t>
  </si>
  <si>
    <t>PROTCNP(g)</t>
  </si>
  <si>
    <t>protein, total, calculated from protein nitrogen</t>
  </si>
  <si>
    <t>fatty acids, total monounsaturated</t>
  </si>
  <si>
    <t>carbohydrate, available</t>
  </si>
  <si>
    <t>CHOAVLM(g)</t>
  </si>
  <si>
    <t>carbohydrate, available; expressed as monosaccharide equivalents</t>
  </si>
  <si>
    <t>sugars, reducing</t>
  </si>
  <si>
    <t>NSP(g)</t>
  </si>
  <si>
    <t>polysaccharides, non-starch (Englyst method)</t>
  </si>
  <si>
    <t>fibre, water-insoluble</t>
  </si>
  <si>
    <t>fibre, water-soluble</t>
  </si>
  <si>
    <t>cellulose</t>
  </si>
  <si>
    <t>hemicellulose</t>
  </si>
  <si>
    <t>nitrates</t>
  </si>
  <si>
    <t>vitamin A; method unknown or variable</t>
  </si>
  <si>
    <t>CARTG(mcg)</t>
  </si>
  <si>
    <t>gamma-carotene</t>
  </si>
  <si>
    <t>cryptoxanthin, total</t>
  </si>
  <si>
    <t>NEUROSP(mcg)</t>
  </si>
  <si>
    <t>neurosporene</t>
  </si>
  <si>
    <t>TRES(g)</t>
  </si>
  <si>
    <t>MANTL(mg)</t>
  </si>
  <si>
    <t>trehalose</t>
  </si>
  <si>
    <t>mannitol</t>
  </si>
  <si>
    <t>malic acid</t>
  </si>
  <si>
    <t>caffeic acid</t>
  </si>
  <si>
    <t>chlorogenic acid</t>
  </si>
  <si>
    <t>cinnamic acids</t>
  </si>
  <si>
    <t>ELLAC(mg)</t>
  </si>
  <si>
    <t>GALAAC(mg)</t>
  </si>
  <si>
    <t>NARING(mcg)</t>
  </si>
  <si>
    <t>ellagic acid</t>
  </si>
  <si>
    <t xml:space="preserve">galacturonic acid </t>
  </si>
  <si>
    <t>kaempferol</t>
  </si>
  <si>
    <t>naringenin</t>
  </si>
  <si>
    <t>p-coumaric acid</t>
  </si>
  <si>
    <t>vanillic acid</t>
  </si>
  <si>
    <t>Cyanide</t>
  </si>
  <si>
    <t>NPRO(g)</t>
  </si>
  <si>
    <t>nitrogen, non-protein</t>
  </si>
  <si>
    <t>nitrogen, protein</t>
  </si>
  <si>
    <t>PROTCNA(g)</t>
  </si>
  <si>
    <t>protein, total; calculated from amino nitrogen</t>
  </si>
  <si>
    <t>CHOCDF</t>
  </si>
  <si>
    <t>STARCHM(g)</t>
  </si>
  <si>
    <t>SUGARM(g)</t>
  </si>
  <si>
    <t>SUGAR-(g)</t>
  </si>
  <si>
    <t>starch, available; expressed as monosaccharide equivalents</t>
  </si>
  <si>
    <t>sugars, total</t>
  </si>
  <si>
    <t>sugars, total; expressed as monosaccharide equivalents</t>
  </si>
  <si>
    <t>sugars, total; expression unknown</t>
  </si>
  <si>
    <t>FIBTS(g)</t>
  </si>
  <si>
    <t>fibre, total dietary; sum of non-starch polysaccharide components and lignin (Southgate colorimetric procedure)</t>
  </si>
  <si>
    <t>PSACNC(g)</t>
  </si>
  <si>
    <t>PECT(g)</t>
  </si>
  <si>
    <t>polysaccharides, non-cellulosic</t>
  </si>
  <si>
    <t>pectin</t>
  </si>
  <si>
    <t>B(mcg)</t>
  </si>
  <si>
    <t>boron</t>
  </si>
  <si>
    <t>vanadium</t>
  </si>
  <si>
    <t>sucrose</t>
  </si>
  <si>
    <t>SORTL(mg)</t>
  </si>
  <si>
    <t>sorbitol</t>
  </si>
  <si>
    <t>nitrites</t>
  </si>
  <si>
    <t>LUTNZEA(mcg)</t>
  </si>
  <si>
    <t>vitamin A; retinol activity equivalent</t>
  </si>
  <si>
    <t>vitamin A; calculated by summation of the vitamin A activities of retinol and the active carotenoids</t>
  </si>
  <si>
    <t>beta-carotene equivalents</t>
  </si>
  <si>
    <t>alpha-cryptoxanthin</t>
  </si>
  <si>
    <t>lutein+zeaxanthin</t>
  </si>
  <si>
    <t xml:space="preserve">violaxanthin </t>
  </si>
  <si>
    <t>TOCPHG(mg)</t>
  </si>
  <si>
    <t>TOCPHD(mg)</t>
  </si>
  <si>
    <t>TOCTRA(mg)</t>
  </si>
  <si>
    <t>TOCTRD(mg)</t>
  </si>
  <si>
    <t>alpha-tocopherol</t>
  </si>
  <si>
    <t>gamma-tocopherol</t>
  </si>
  <si>
    <t>delta-tocopherol</t>
  </si>
  <si>
    <t>alpha-tocotrienol</t>
  </si>
  <si>
    <t>delta-tocotrienol</t>
  </si>
  <si>
    <t>folate, total</t>
  </si>
  <si>
    <t>phosphatidylserine</t>
  </si>
  <si>
    <t>phosphatidic Acid</t>
  </si>
  <si>
    <t>phosphatidylinositol</t>
  </si>
  <si>
    <t>phosphatidylethanolamine</t>
  </si>
  <si>
    <t>fatty acid conversion factor for internal use</t>
  </si>
  <si>
    <t>ACEAC(mg)</t>
  </si>
  <si>
    <t>QUINAC(mg)</t>
  </si>
  <si>
    <t>SHIKAC(mg)</t>
  </si>
  <si>
    <t>SUCAC(mg)</t>
  </si>
  <si>
    <t>OA(g)</t>
  </si>
  <si>
    <t>CATECT(mcg)</t>
  </si>
  <si>
    <t>HESPD(mcg)</t>
  </si>
  <si>
    <t>LUTEOL(mcg)</t>
  </si>
  <si>
    <t>MYRIC(mcg)</t>
  </si>
  <si>
    <t>PAPOLY(mg)</t>
  </si>
  <si>
    <t>PROCYA(mcg)</t>
  </si>
  <si>
    <t>QUERCE(mcg)</t>
  </si>
  <si>
    <t>RUTIN(mcg)</t>
  </si>
  <si>
    <t>RESVTROL(mcg)</t>
  </si>
  <si>
    <t>GABA(mg)</t>
  </si>
  <si>
    <t>acetic acid</t>
  </si>
  <si>
    <t>quinic acid</t>
  </si>
  <si>
    <t>shikimic acid</t>
  </si>
  <si>
    <t xml:space="preserve">succinic acid </t>
  </si>
  <si>
    <t>organic acids, total</t>
  </si>
  <si>
    <t>anthocyanidin, total</t>
  </si>
  <si>
    <t>catechin</t>
  </si>
  <si>
    <t>catechins, total</t>
  </si>
  <si>
    <t>citric acid</t>
  </si>
  <si>
    <t>epicatechin</t>
  </si>
  <si>
    <t xml:space="preserve">flavonoids, total </t>
  </si>
  <si>
    <t>flavonols, total</t>
  </si>
  <si>
    <t>ferulic acid</t>
  </si>
  <si>
    <t>fumaric acid</t>
  </si>
  <si>
    <t>gallic acid</t>
  </si>
  <si>
    <t>hesperidin</t>
  </si>
  <si>
    <t>isohamnetin</t>
  </si>
  <si>
    <t>luteolin</t>
  </si>
  <si>
    <t>myricetin</t>
  </si>
  <si>
    <t>proanthocyanidin polymers (&gt;10mers)</t>
  </si>
  <si>
    <t>procyanidins, total</t>
  </si>
  <si>
    <t>quercetin</t>
  </si>
  <si>
    <t>rutin</t>
  </si>
  <si>
    <t>resveratrol</t>
  </si>
  <si>
    <t>sinapic acid</t>
  </si>
  <si>
    <t>syringic acid</t>
  </si>
  <si>
    <t>tannins, total</t>
  </si>
  <si>
    <t>gamma-aminobutyric acid</t>
  </si>
  <si>
    <t>saponins</t>
  </si>
  <si>
    <t>CS(mcg)</t>
  </si>
  <si>
    <t>cesium</t>
  </si>
  <si>
    <t>FD(mcg)</t>
  </si>
  <si>
    <t>flouride</t>
  </si>
  <si>
    <t>LI(mcg)</t>
  </si>
  <si>
    <t>lithium</t>
  </si>
  <si>
    <t>tin</t>
  </si>
  <si>
    <t>ATX(mcg)</t>
  </si>
  <si>
    <t>astaxanthin</t>
  </si>
  <si>
    <t>THIA-(mg)</t>
  </si>
  <si>
    <t>thiamin, form unknown or mixed</t>
  </si>
  <si>
    <t>ALA_A_ARG(mg)</t>
  </si>
  <si>
    <t>alanine + arginine</t>
  </si>
  <si>
    <t>GLU_A_HIS(mg)</t>
  </si>
  <si>
    <t>glutamine + histidine</t>
  </si>
  <si>
    <t>CHOLEST(mg)</t>
  </si>
  <si>
    <t>cholesteryl-ester, total</t>
  </si>
  <si>
    <t>DEN</t>
  </si>
  <si>
    <t>Density</t>
  </si>
  <si>
    <t>Energy (original as from source)</t>
  </si>
  <si>
    <t>Energy, gross</t>
  </si>
  <si>
    <t>Protein from plant origin</t>
  </si>
  <si>
    <t>Protein from animal origin</t>
  </si>
  <si>
    <t>Carbohydrate, available by weight</t>
  </si>
  <si>
    <t>Carbohydrate, available; expressed in monosaccharide equivalents</t>
  </si>
  <si>
    <t>Sugars, total; expressed in monosaccharide equivalents</t>
  </si>
  <si>
    <t>Sugar, reducing</t>
  </si>
  <si>
    <t>Sugar, non-reducing</t>
  </si>
  <si>
    <t>Starch, available; expressed in monosaccharide equivalents</t>
  </si>
  <si>
    <t>starch, available; expression unknown</t>
  </si>
  <si>
    <t>Resistent starch</t>
  </si>
  <si>
    <t>FIBTS(g) Southgate</t>
  </si>
  <si>
    <t>Fibre, total dietary; Southgate colorimetric procedure</t>
  </si>
  <si>
    <t>Polysaccharides, non-starch (Englyst method)</t>
  </si>
  <si>
    <t>Fibre; determined by neutral detergent method</t>
  </si>
  <si>
    <t>Fibre; determined by acid detergent method</t>
  </si>
  <si>
    <t>ALC(g)</t>
  </si>
  <si>
    <t>Alcohol</t>
  </si>
  <si>
    <t>SB(mcg)</t>
  </si>
  <si>
    <t>Boron</t>
  </si>
  <si>
    <t>Chloride</t>
  </si>
  <si>
    <t>Lithium</t>
  </si>
  <si>
    <t>Antimony</t>
  </si>
  <si>
    <t>CRYPXB(mcg)</t>
  </si>
  <si>
    <t>PHYTOENE(mcg)</t>
  </si>
  <si>
    <t>PHYTOFLUENCE(mcg)</t>
  </si>
  <si>
    <t>Alpha-carotene</t>
  </si>
  <si>
    <t>Cryptoxanthin, total</t>
  </si>
  <si>
    <t>Beta-cryptoxanthin, total</t>
  </si>
  <si>
    <t>Gamma-carotene</t>
  </si>
  <si>
    <t>Lycopene</t>
  </si>
  <si>
    <t>Neurosporene</t>
  </si>
  <si>
    <t>Phytoene</t>
  </si>
  <si>
    <t>Phytofluene</t>
  </si>
  <si>
    <t>Lutein+Zeaxanthin</t>
  </si>
  <si>
    <t>Carotenoids, total</t>
  </si>
  <si>
    <t>VITD(mcg)</t>
  </si>
  <si>
    <t>VITDEQ(mcg)</t>
  </si>
  <si>
    <t>Vitamin D (D2+D3);</t>
  </si>
  <si>
    <t>Vitamin D equivalent</t>
  </si>
  <si>
    <t>Ergocalciferol (D2)</t>
  </si>
  <si>
    <t>Vitamin D, method unknown or variable</t>
  </si>
  <si>
    <t>VITEA(IU)</t>
  </si>
  <si>
    <t>TOCPHB(mg)</t>
  </si>
  <si>
    <t>TOCPHT(mg)</t>
  </si>
  <si>
    <t>Vit E determined by bioassay</t>
  </si>
  <si>
    <t>Vitamin E; method unknown or variable; expressed as alpha-tocopherol equivalents</t>
  </si>
  <si>
    <t>Alpha-tocopherol</t>
  </si>
  <si>
    <t>Beta-tocopherol</t>
  </si>
  <si>
    <t>Gamma-tocopherol</t>
  </si>
  <si>
    <t>Delta-tocopherol</t>
  </si>
  <si>
    <t>Tocopherol, total</t>
  </si>
  <si>
    <t>Vitamin K, total</t>
  </si>
  <si>
    <t>Niacin equivalents, total</t>
  </si>
  <si>
    <t>Niacin equivalents from tryptophan</t>
  </si>
  <si>
    <t>FOLSUM(mcg)</t>
  </si>
  <si>
    <t>Sum of folate vitamers determined by HPLC</t>
  </si>
  <si>
    <t>Folate, total; microbiological assay</t>
  </si>
  <si>
    <t>FOLAC(mcg)</t>
  </si>
  <si>
    <t>FOLFD(mcg)</t>
  </si>
  <si>
    <t>DFE(mcg)</t>
  </si>
  <si>
    <t>FOLFRE(mcg)</t>
  </si>
  <si>
    <t>Folic acid</t>
  </si>
  <si>
    <t>Folate food, naturally occuring food folates</t>
  </si>
  <si>
    <t xml:space="preserve">Folate, dietary folate equivalent </t>
  </si>
  <si>
    <t>Folate, free</t>
  </si>
  <si>
    <t xml:space="preserve">Biotin </t>
  </si>
  <si>
    <t>RAFS(g)</t>
  </si>
  <si>
    <t>Raffinose</t>
  </si>
  <si>
    <t>STASM(g)</t>
  </si>
  <si>
    <t>stachyose; expressed as monosaccharide equivalents</t>
  </si>
  <si>
    <t>RAFSM(g)</t>
  </si>
  <si>
    <t>raffinose; expressed as monosaccharide equivalents</t>
  </si>
  <si>
    <t>total fatt acid</t>
  </si>
  <si>
    <t>PHE_A_TYR(mg)</t>
  </si>
  <si>
    <t>phenylalanine + tyrosine</t>
  </si>
  <si>
    <t xml:space="preserve">Amino acids, total essential; unknown </t>
  </si>
  <si>
    <t>BENAC(mg)</t>
  </si>
  <si>
    <t>benzoic acid</t>
  </si>
  <si>
    <t>Silicon</t>
  </si>
  <si>
    <t>Gamma-aminobutyric acid</t>
  </si>
  <si>
    <t xml:space="preserve">Protein, total; calculated from protein nitrogen </t>
  </si>
  <si>
    <t>Cellulose</t>
  </si>
  <si>
    <t>Total tannins</t>
  </si>
  <si>
    <t>Non-protein nitrogen</t>
  </si>
  <si>
    <t>Lignin</t>
  </si>
  <si>
    <t>CYAN(mcg)</t>
  </si>
  <si>
    <t>Philippines</t>
  </si>
  <si>
    <t>USA, North Carolina, Wilson</t>
  </si>
  <si>
    <t>Greece, Western part</t>
  </si>
  <si>
    <t>Indonesia, Lowokwaru Malang</t>
  </si>
  <si>
    <t>Thailand, Pathum Thani and Bangkok</t>
  </si>
  <si>
    <t>Kenia, Mombasa</t>
  </si>
  <si>
    <t>Thailand</t>
  </si>
  <si>
    <t>India/Pakistan</t>
  </si>
  <si>
    <t>USA/Italy</t>
  </si>
  <si>
    <t>Australia/Italy</t>
  </si>
  <si>
    <t>India, Mysore</t>
  </si>
  <si>
    <t>India, Bihar, Dhanbad, Bakreswar</t>
  </si>
  <si>
    <t>India, Karnataka, Raichur</t>
  </si>
  <si>
    <t>China, Hangzhou</t>
  </si>
  <si>
    <t>India, Chennai</t>
  </si>
  <si>
    <t>USA, California, San Francisco</t>
  </si>
  <si>
    <t>USA, Texas, Houston</t>
  </si>
  <si>
    <t>Rice, long grain, brown, raw</t>
  </si>
  <si>
    <t>Rice, bran, raw</t>
  </si>
  <si>
    <t>Rice, white, milled, raw</t>
  </si>
  <si>
    <t>Rice, yellow, milled, raw</t>
  </si>
  <si>
    <t>Rice gruel, fermented, malted rice and water</t>
  </si>
  <si>
    <t>Rice, white, broken, raw</t>
  </si>
  <si>
    <t>Rice, milled, cooked</t>
  </si>
  <si>
    <t>Rice, Basmati, raw</t>
  </si>
  <si>
    <t>Rice, Basmati, infrared-irradiated,raw</t>
  </si>
  <si>
    <t>Rice, white, raw</t>
  </si>
  <si>
    <t>Rice, white, parboiled</t>
  </si>
  <si>
    <t>Rice, brown, parboiled</t>
  </si>
  <si>
    <t>Rice, long grain, brown, parboiled</t>
  </si>
  <si>
    <t>Rice, long grain, white, Instant, parboiled</t>
  </si>
  <si>
    <t>Rice, long grain, white, ecological, parboiled</t>
  </si>
  <si>
    <t>Rice, long grain, white, wild rice mix, parboiled</t>
  </si>
  <si>
    <t>Rice, short grain, brown, ecological, raw</t>
  </si>
  <si>
    <t>Rice, short grain, white, Avorio, parboiled</t>
  </si>
  <si>
    <t>Rice, polished, milled, raw</t>
  </si>
  <si>
    <t>Rice, milled, raw</t>
  </si>
  <si>
    <t>Rice, non-glutinous, milled, raw</t>
  </si>
  <si>
    <t>Rice, glutinous, milled, raw</t>
  </si>
  <si>
    <t>Rice, white brown, milled, raw</t>
  </si>
  <si>
    <t>Rice, red brown, milled, raw</t>
  </si>
  <si>
    <t>Rice, black brown, milled, raw</t>
  </si>
  <si>
    <t>Rice, short/medium grain, flour, raw</t>
  </si>
  <si>
    <t>Rice, long grain, flour, raw</t>
  </si>
  <si>
    <t xml:space="preserve">Rice flake, thick, powdered, raw </t>
  </si>
  <si>
    <t>Rice flake, medium, powdered, raw</t>
  </si>
  <si>
    <t>Rice flake, thin, powdered, raw</t>
  </si>
  <si>
    <t>Rice flake, very thin, powdered, raw</t>
  </si>
  <si>
    <t>Rice, parboiled, raw</t>
  </si>
  <si>
    <t>Rice, Arbolio, raw</t>
  </si>
  <si>
    <t>Oryza sativa indica</t>
  </si>
  <si>
    <t>Oryza sativa var. glutinosa</t>
  </si>
  <si>
    <t>Oryza sativa ssp Indica</t>
  </si>
  <si>
    <t>Oryza sativa ssp Japonica</t>
  </si>
  <si>
    <t>r002</t>
  </si>
  <si>
    <t>DP/MS</t>
  </si>
  <si>
    <t>r005</t>
  </si>
  <si>
    <t xml:space="preserve">soaked in hot water(&gt;60C )for 4-7h, steamed for 15min and dried </t>
  </si>
  <si>
    <t xml:space="preserve">soaked in hot water(&gt;60C )for 4-7h, steamed for 15min and dried.  </t>
  </si>
  <si>
    <t xml:space="preserve">Data expressed per DM - conversion to FW. PROT-, FAT- (analyzed according to AOAC 1995).Data extracted from table 1 </t>
  </si>
  <si>
    <t>r010</t>
  </si>
  <si>
    <t>Fresh weight assumed. PROT-, FAT- (analyzed according to the methods recommended by the Ministry of Agriculture, Fisheries and Food(1986)), STARCH-(analyzed with a Polarimetric method), CHO-(available starch and sugars, analyzed according to a modified method of Clegg (1956)), SUGAR-(analyzed according to the Luff-Schoorl method),Nitrogen(dried and defatted) not entered because it does not fit with the description</t>
  </si>
  <si>
    <t>r011</t>
  </si>
  <si>
    <t>Two top national brands of rice were analyzed. Cooked according to package instructions except no salt or fat was added</t>
  </si>
  <si>
    <t>SUGAR-(analyzed according to AOAC 1997)</t>
  </si>
  <si>
    <t>r013</t>
  </si>
  <si>
    <t>DP</t>
  </si>
  <si>
    <t>Malted rice was ground with water, fermented overnight, then sieved.</t>
  </si>
  <si>
    <t>PROT- (analyzed according to AOAC 1984), Amino acid values not entered due to no nitrogen values</t>
  </si>
  <si>
    <t>r014</t>
  </si>
  <si>
    <t xml:space="preserve">Data expressed per DM - conversion to FW. </t>
  </si>
  <si>
    <t>r020</t>
  </si>
  <si>
    <t>Restaurant 1</t>
  </si>
  <si>
    <t>Fresh weight assumed. FAT-(analyzed according to AOAC 1995); FIB-(analyzed according to enzyme gravimetric method (Garbelotti et al. 2003),Rice with mushrooms/vegetables/broccoli not entered because recipe</t>
  </si>
  <si>
    <t>r024</t>
  </si>
  <si>
    <t>Restaurant 2</t>
  </si>
  <si>
    <t>Restaurant 3</t>
  </si>
  <si>
    <t>Data expressed per DM - conversion to FW. PROT- and FIB-(analyzed according to Sudarmadji et al. 1989)</t>
  </si>
  <si>
    <t>r025</t>
  </si>
  <si>
    <t>Data expressed per DM - conversion to FW. PROT- (analyzed according to Sudarmadji et al. 1989)</t>
  </si>
  <si>
    <t>fermented 24 hour</t>
  </si>
  <si>
    <t>Data expressed per DM - conversion to FW. PROT-(analyzed according to Sudarmadji et al. 1989)</t>
  </si>
  <si>
    <t>fermented 48 hour</t>
  </si>
  <si>
    <t>fermented 72 hour</t>
  </si>
  <si>
    <t>General name: unpolished jasmine rice</t>
  </si>
  <si>
    <t>Author confirmed data is expressed in fresh weight, Mean mineral contents of white jasmine rice</t>
  </si>
  <si>
    <t>r028</t>
  </si>
  <si>
    <t>General name: Thai jasmine rice, Hom Mali rice</t>
  </si>
  <si>
    <t xml:space="preserve">Author confirmed data is expressed in fresh weight </t>
  </si>
  <si>
    <t>General name: Sticky rice, sweet rice, waxy rice</t>
  </si>
  <si>
    <t>General name: Black sticky rice</t>
  </si>
  <si>
    <t>Proximates: fresh weight assumed. PROT-, FAT-, FIB-, CHO- (analyzed according to AOAC 1984). Minerals expressed per DM - conversion to FW.</t>
  </si>
  <si>
    <t>r030</t>
  </si>
  <si>
    <t>Infrared-irradiated for 30 seconds at 2000°C</t>
  </si>
  <si>
    <t xml:space="preserve">PROT- and FAT- (analyzed according to AOAC 1984, 1986), Author confirmed the data is in fresh basis </t>
  </si>
  <si>
    <t>r033</t>
  </si>
  <si>
    <t>Data expressed in wet basis</t>
  </si>
  <si>
    <t>r038</t>
  </si>
  <si>
    <t>Expressed in fresh weight</t>
  </si>
  <si>
    <t>r039</t>
  </si>
  <si>
    <t xml:space="preserve">Polished after parboiling, </t>
  </si>
  <si>
    <t>STARCH-(estimated by degradation of starch to glucose with amyloglucosidase followed by determination of glucose (Batey and Ryde 1982, Raghuramulu et al. 2003)). Soluble and insoluble dietary fiber were measured on the basis of separation of non starch polysaccharide by enzymatic and gravimetric methods</t>
  </si>
  <si>
    <t>r041</t>
  </si>
  <si>
    <t>Fresh weight assumed(the sum of macronutrient +ash+moisture is around ~100g)</t>
  </si>
  <si>
    <t>r048</t>
  </si>
  <si>
    <t>274 rice genotypes</t>
  </si>
  <si>
    <t xml:space="preserve">Data expressed per DM - conversion to FW, The rice grains were harvested at maturity and dried to the moisture of 12% according to the author </t>
  </si>
  <si>
    <t>r050</t>
  </si>
  <si>
    <t>69 rice genotypes</t>
  </si>
  <si>
    <t>PROT-, FIB- and STARCH-(analyzed according to AACC 2009)</t>
  </si>
  <si>
    <t>r058</t>
  </si>
  <si>
    <t>FIB- (analyzed according to AACC 2009)</t>
  </si>
  <si>
    <t>r061</t>
  </si>
  <si>
    <t>PROT- and FAT-(analyzed according to AOAC 1990). FIBND and FIBAD (analyzed according to Soest et al, 1991)</t>
  </si>
  <si>
    <t>r063</t>
  </si>
  <si>
    <t>Thickness: 1,204 mm; commercial sample A</t>
  </si>
  <si>
    <t>FIB- (analyzed by the enzymatic gravimetric method (Asp et al. 1983)), author confirmed the values are expressed in fresh weight</t>
  </si>
  <si>
    <t>r066</t>
  </si>
  <si>
    <t>Thickness: 0,76 mm; commercial sample A</t>
  </si>
  <si>
    <t>Thickness: 0,108 mm; commercial sample A</t>
  </si>
  <si>
    <t>Thickness: 0,064 mm; commercial sample A</t>
  </si>
  <si>
    <t>Thickness: 1,204 mm; commercial sample B</t>
  </si>
  <si>
    <t>Thickness: 0,352 mm; commercial sample B</t>
  </si>
  <si>
    <t>Thickness:  0,128 mm; commercial sample B</t>
  </si>
  <si>
    <t>Thickness: 0,036 mm; commercial sample B</t>
  </si>
  <si>
    <t>Thickness: 1,098 mm; commercial sample C</t>
  </si>
  <si>
    <t>Thickness: 0,352 mm; commercial sample C</t>
  </si>
  <si>
    <t>Thickness: 1,11 mm; commercial sample C</t>
  </si>
  <si>
    <t>Thickness: 0,082 mm; commercial sample C</t>
  </si>
  <si>
    <t>Thickness: 1,17 mm; commercial sample D</t>
  </si>
  <si>
    <t>Thickness: 1,224 mm; commercial sample D</t>
  </si>
  <si>
    <t>Thickness: 0,132 mm; commercial sample D</t>
  </si>
  <si>
    <t>Thickness: 0,058 mm; commercial sample D</t>
  </si>
  <si>
    <t>Brand:Flora, Fino Ribe, Type: il classico, Size: 26.4 ± 3.2 mm3</t>
  </si>
  <si>
    <t>Values expressed as moist mass of uncooked product- assumed fresh weight.</t>
  </si>
  <si>
    <t>r069</t>
  </si>
  <si>
    <t>Brand: San Marco, Type: Superfino, Size: 37.4 ± 5.6 mm3</t>
  </si>
  <si>
    <t>&lt;0,3</t>
  </si>
  <si>
    <t>&lt;10</t>
  </si>
  <si>
    <t>Tanzania, Tanga region, Tanga district</t>
  </si>
  <si>
    <t>Tanzania, Mwanza region, Ukerewe</t>
  </si>
  <si>
    <t>Tanzania, Tanga region, Muheza district</t>
  </si>
  <si>
    <t xml:space="preserve">Sri Lanka, Gannoruwa </t>
  </si>
  <si>
    <t>Sri Lanka, Gannoruwa</t>
  </si>
  <si>
    <t>Rathu bathala</t>
  </si>
  <si>
    <t>Kaha bathala</t>
  </si>
  <si>
    <t>Cassava, flour, fermented in solid state</t>
  </si>
  <si>
    <t>Cassava, flour, wet-fermented</t>
  </si>
  <si>
    <t>Sweet potato, red, unpeeled, raw</t>
  </si>
  <si>
    <t xml:space="preserve">Ipomoea batatas (L.) Lam. </t>
  </si>
  <si>
    <t>Sweet potato, yellow, unpeeled, raw</t>
  </si>
  <si>
    <t>Milled into flour without prior removal of mould</t>
  </si>
  <si>
    <t>Mould is scraped off before milling into flour</t>
  </si>
  <si>
    <t>harvested</t>
  </si>
  <si>
    <t>DM converted to WB</t>
  </si>
  <si>
    <t>tu11</t>
  </si>
  <si>
    <t>br26</t>
  </si>
  <si>
    <t>SW, SL</t>
  </si>
  <si>
    <t>SW</t>
  </si>
  <si>
    <t>SL</t>
  </si>
  <si>
    <t>Diedelinde Persijn</t>
  </si>
  <si>
    <t>Swarna Wimalasiri</t>
  </si>
  <si>
    <t>Sarah Liewer</t>
  </si>
  <si>
    <t>Echendu C.A., Obizoba I.C., Anyika J.U., Ojimelukwe P.C. (2009). Changes in chemical composition of treated and untreated hungry rice "Acha" (Digitaria exilis). Pakistan Journal of Nutrition Vol.8(11), p.1779</t>
  </si>
  <si>
    <t>Heinemann R.J.B., Fagundes P.L., Pinto E.A., Penteado M.V.C., Lanfer-Marquez U.M. (2005). Comparative study of nutrient composition of commercial brown, parboiled and milled rice from Brazil. Journal of Food Composition and Analysis Vol.18(4), pp.287-296</t>
  </si>
  <si>
    <t>Cutrim D.O., Alves K.S., Oliveira L.R.S., da Conceicao dos Santos R., da Mata V.J.V., do Carmo D.M., Gomes D.I., Mezzomo R., de Carvalho F.F.R. (2012). Elephant grass, sugarcane, and rice bran in diets for confined sheep. Tropical Animal Health and Production pp. 1-9</t>
  </si>
  <si>
    <t>Panigrahi S., Phillips S., Plumb V.E., Watson A.J. (1992). Evaluation of the nutritive value of yellow rice in rats and broiler chicks. British Journal of Nutrition Vol. 68(3), pp. 573-582</t>
  </si>
  <si>
    <t>Li, B.W. , Andrews, K.W. ; Pehrsson, P.R. (2002). Individual Sugars, Soluble, and Insoluble Dietary Fiber Contents of 70 High Consumption Foods. Journal of Food Composition and Analysis, Vol.15(6), pp.715-723</t>
  </si>
  <si>
    <t>Terna G., Jideani I.A., Nkama I. (2002). Nutrient and sensory qualities of kunun zaki from different saccharification agents. International Journal of Food Sciences and Nutrition Vol 53(2), pp. 109-115</t>
  </si>
  <si>
    <t>Zoiopoulos P.E., Natskoulis P.I. (2008). Quality assessment of rice industry by-products as ingredients of animal diets based on nutrient content, undesirable substances and hygienic parameters. Journal of Animal and Veterinary Advances Vol. 7(1), pp. 1-4</t>
  </si>
  <si>
    <t>da Silva Torres E.A.F., Garbelotti M.L., Moita Neto J.M. (2006). The application of hierarchical clusters analysis to the study of the composition of foods. Food Chemistry, Vol. 99(3), pp. 622-629</t>
  </si>
  <si>
    <t>Hardini D. (2010). The nutrient evaluation of fermented rice bran as poultry feed. International Journal of Poultry Science, Vol. 9(2), pp. 152-154</t>
  </si>
  <si>
    <t>Parengam M., Judprasong K., Srianujata S., Jittinandana S., Laoharojanaphand S., Busamongko A. (2010). Study of nutrients and toxic minerals in rice and legumes by instrumental neutron activation analysis and graphite furnace atomic absorption spectrophotometry. Journal of Food Composition and Analysis, Vol. 23(4), pp. 340-345</t>
  </si>
  <si>
    <t>Keya E.L., Sherman U. (1997). Effects of a brief, intense infrared radiation treatment on the nutritional quality of maize, rice, sorghum, and beans. Food and Nutrition Bulletin Vol. 18(4), pp. 382-387</t>
  </si>
  <si>
    <t>Sairam S., Gopala Krishna A.G., Urooj A. (2011). Physico-chemical characteristics of defatted rice bran and its utilization in a bakery product. Journal of Food Science and Technology, Vol. 48(4), pp. 478-483</t>
  </si>
  <si>
    <t>Batista B.L., De Oliveira Souza V.C., Da Silva F.G., Barbosa F. (2010). Survey of 13 trace elements of toxic and nutritional significance in rice from Brazil and exposure assessment. Food additives and contaminants: Part B, Vol.3(4), pp. 253-262</t>
  </si>
  <si>
    <t>Jorhem L., Astrand C., Sundstrom B., Baxter M., Stokes P., Lewis J., Grawe K.P. (2008). Elements in rice on the Swedish market: Part 2. Chromium, copper, iron, manganese, platinum, rubidium, selenium and zinc. Food Additives and Contaminants - Part A Chemistry, Analysis, Control, Exposure and Risk Assessment Vol. 25(7), pp. 841-850</t>
  </si>
  <si>
    <t>Oghbaei M., Prakash J. (2010) Effect of compositional alteration of food matrices and processing on availability of selected nutrients and bioactive components in rice products. International Journal of Food Sciences and Nutrition, Vol. 62(3), pp. 250-261</t>
  </si>
  <si>
    <t>Bhaskarachary K., Ramulu P., Udayasekhararao P., Bapurao S.,Kamala K. Qadri Syed, Udaykumarc P., Sesikeran B. Chemical composition, nutritional and toxicological evaluation of rice (Oryza sativa) grown in fly ash amended soils. J Sci Food Agric 92: 2721–2726</t>
  </si>
  <si>
    <t>Jiang S.L., Wu J.G., Thang N.B., Feng Y., Yang X.E., Shi C.H. (2008). Genotypic variation of mineral elements contents in rice (Oryza sativa L.). European Food Research and Technology Vol. 228(1), pp. 115-122</t>
  </si>
  <si>
    <t>Ravi U., Menon L., Gomathy G., Parimala C., Rajeshwari R. (2012). Quality analysis of indigenous organic Asian Indian rice variety- Salem Samba. Indian Journal of Traditional Knowledge, Vol. 11(1), pp. 114-122</t>
  </si>
  <si>
    <t>Bean M.M., Ellisron-Hoops E.A., Nishita K.D. (1983). Rice flour treatment for cake-baking applications. Cereal Chemistry, Vol. 60(6), pp. 445-449</t>
  </si>
  <si>
    <t>Ando S., Nishiguchi Y., Hayasaka K., Iefuji H., Takahashi J. (2006). Effects of Candida utilis treatment on the nutrient value of rice bran and the effect of Candida utilis on the degradation of forages in vitro. Asian-Australasian Journal of Animal Sciences Vol. 19(6), pp. 806-810</t>
  </si>
  <si>
    <t xml:space="preserve">Suma R.C., Sheetal G., Jyothi L.A., Prakash J. (2007). Influence of phytin phosphorous and dietary fibre on in vitro iron and calcium bioavailability from rice flakes. International Journal of Food Sciences and Nutrition, 58:8, 637 - 643
</t>
  </si>
  <si>
    <t>M. Riva, D. Fessas, and A. Schiraldi. (2000). Starch Retrogradation in Cooked Pasta and Rice Cereal Chem. 77(4):433–438</t>
  </si>
  <si>
    <t>Mudannayake, D.C., Wimalasiri, K.M.S., Silva, K.F.S.T., Ajlouni, S. Selected Sri lankan food and herbal plants as potential sources of inulin-type fructans. J. National Science Council, Sri Lanka, 2014 (accepted for publication)</t>
  </si>
  <si>
    <t>Muzanila, Y.C., Brennan, J.G., King, R.D. Residual cyanogens, chemical composition and aflatoxins in cassava flour from Tanzanian villages. Food Chemistry 70 (2000) 45-49.</t>
  </si>
  <si>
    <t>F18D1TN11(g)</t>
  </si>
  <si>
    <t>02, 05</t>
  </si>
  <si>
    <t>01, 02, 05, 09</t>
  </si>
  <si>
    <t>01, 02, 03, 04, 05, 06, 07, 08, 09, 12</t>
  </si>
  <si>
    <t>02, 05, 09</t>
  </si>
  <si>
    <t>01, 02, 05</t>
  </si>
  <si>
    <t>01, 02, 09</t>
  </si>
  <si>
    <t>01, 02</t>
  </si>
  <si>
    <t>02, 09</t>
  </si>
  <si>
    <t>01, 05</t>
  </si>
  <si>
    <t>F20D1N11_A_F20D1N13(g)</t>
  </si>
  <si>
    <t>F22D1N11_A_F22D1N13(g)</t>
  </si>
  <si>
    <t>FAPUCN3(g)</t>
  </si>
  <si>
    <t>FAPULCCN3(g)</t>
  </si>
  <si>
    <t>FAPUCN6(g)</t>
  </si>
  <si>
    <t>FAPUCN9(g)</t>
  </si>
  <si>
    <t>F18D1N7_A_F18D1N9(g)</t>
  </si>
  <si>
    <t>PROTPL(g)</t>
  </si>
  <si>
    <t>PROTAN(g)</t>
  </si>
  <si>
    <t>PSACNSI</t>
  </si>
  <si>
    <t>PSACNSI(g)</t>
  </si>
  <si>
    <t>polysaccharides, non-starch, water-insoluble</t>
  </si>
  <si>
    <t>PSACNSS</t>
  </si>
  <si>
    <t>PSACNSS(g)</t>
  </si>
  <si>
    <t>polysaccharides, non-starch, water-soluble</t>
  </si>
  <si>
    <t>PSACNSS and PSACNSI determined by Englyst method</t>
  </si>
  <si>
    <t>0100111</t>
  </si>
  <si>
    <t>0100112</t>
  </si>
  <si>
    <t>0100113</t>
  </si>
  <si>
    <t>0100114</t>
  </si>
  <si>
    <t>0100115</t>
  </si>
  <si>
    <t>0100116</t>
  </si>
  <si>
    <t>0100117</t>
  </si>
  <si>
    <t>0100118</t>
  </si>
  <si>
    <t>0100119</t>
  </si>
  <si>
    <t>0100120</t>
  </si>
  <si>
    <t>0100121</t>
  </si>
  <si>
    <t>0100122</t>
  </si>
  <si>
    <t>0100123</t>
  </si>
  <si>
    <t>0100124</t>
  </si>
  <si>
    <t>0100125</t>
  </si>
  <si>
    <t>0100126</t>
  </si>
  <si>
    <t>0100127</t>
  </si>
  <si>
    <t>0100128</t>
  </si>
  <si>
    <t>0100129</t>
  </si>
  <si>
    <t>0100130</t>
  </si>
  <si>
    <t>0100131</t>
  </si>
  <si>
    <t>0100132</t>
  </si>
  <si>
    <t>0100133</t>
  </si>
  <si>
    <t>0100134</t>
  </si>
  <si>
    <t>0100135</t>
  </si>
  <si>
    <t>0100136</t>
  </si>
  <si>
    <t>0100137</t>
  </si>
  <si>
    <t>0100138</t>
  </si>
  <si>
    <t>0100139</t>
  </si>
  <si>
    <t>0100140</t>
  </si>
  <si>
    <t>0100141</t>
  </si>
  <si>
    <t>0100142</t>
  </si>
  <si>
    <t>0100143</t>
  </si>
  <si>
    <t>0100144</t>
  </si>
  <si>
    <t>0100145</t>
  </si>
  <si>
    <t>0100146</t>
  </si>
  <si>
    <t>0100147</t>
  </si>
  <si>
    <t>0100148</t>
  </si>
  <si>
    <t>0100149</t>
  </si>
  <si>
    <t>0100150</t>
  </si>
  <si>
    <t>0100151</t>
  </si>
  <si>
    <t>0100152</t>
  </si>
  <si>
    <t>0100153</t>
  </si>
  <si>
    <t>0100154</t>
  </si>
  <si>
    <t>0100155</t>
  </si>
  <si>
    <t>0100156</t>
  </si>
  <si>
    <t>0100157</t>
  </si>
  <si>
    <t>0100158</t>
  </si>
  <si>
    <t>0100159</t>
  </si>
  <si>
    <t>0100160</t>
  </si>
  <si>
    <t>0100161</t>
  </si>
  <si>
    <t>0100162</t>
  </si>
  <si>
    <t>0100163</t>
  </si>
  <si>
    <t>0100164</t>
  </si>
  <si>
    <t>0100165</t>
  </si>
  <si>
    <t>0100166</t>
  </si>
  <si>
    <t>0100167</t>
  </si>
  <si>
    <t>0100168</t>
  </si>
  <si>
    <t>0100169</t>
  </si>
  <si>
    <t>0100170</t>
  </si>
  <si>
    <t>0100171</t>
  </si>
  <si>
    <t>0100172</t>
  </si>
  <si>
    <t>0100173</t>
  </si>
  <si>
    <t>0100174</t>
  </si>
  <si>
    <t>0100175</t>
  </si>
  <si>
    <t>0100176</t>
  </si>
  <si>
    <t>0100177</t>
  </si>
  <si>
    <t>0100178</t>
  </si>
  <si>
    <t>0100179</t>
  </si>
  <si>
    <t>0100180</t>
  </si>
  <si>
    <t>0100181</t>
  </si>
  <si>
    <t>0100182</t>
  </si>
  <si>
    <t>0100183</t>
  </si>
  <si>
    <t>0100184</t>
  </si>
  <si>
    <t>0100185</t>
  </si>
  <si>
    <t>0100186</t>
  </si>
  <si>
    <t>0100187</t>
  </si>
  <si>
    <t>0100188</t>
  </si>
  <si>
    <t>0100189</t>
  </si>
  <si>
    <t>0100190</t>
  </si>
  <si>
    <t>0100191</t>
  </si>
  <si>
    <t>0100192</t>
  </si>
  <si>
    <t>0100193</t>
  </si>
  <si>
    <t>0100194</t>
  </si>
  <si>
    <t>0100195</t>
  </si>
  <si>
    <t>0100196</t>
  </si>
  <si>
    <t>0100197</t>
  </si>
  <si>
    <t>0100198</t>
  </si>
  <si>
    <t>0100199</t>
  </si>
  <si>
    <t>0100200</t>
  </si>
  <si>
    <t>0100201</t>
  </si>
  <si>
    <t>0100202</t>
  </si>
  <si>
    <t>0100203</t>
  </si>
  <si>
    <t>0100204</t>
  </si>
  <si>
    <t>0100205</t>
  </si>
  <si>
    <t>0100206</t>
  </si>
  <si>
    <t>0100207</t>
  </si>
  <si>
    <t>0100208</t>
  </si>
  <si>
    <t>0100209</t>
  </si>
  <si>
    <t>0100210</t>
  </si>
  <si>
    <t>0100211</t>
  </si>
  <si>
    <t>0100212</t>
  </si>
  <si>
    <t>0100213</t>
  </si>
  <si>
    <t>0100214</t>
  </si>
  <si>
    <t>0202058</t>
  </si>
  <si>
    <t>0202059</t>
  </si>
  <si>
    <t>0202060</t>
  </si>
  <si>
    <t>0202061</t>
  </si>
  <si>
    <t>0202062</t>
  </si>
  <si>
    <t>0300001</t>
  </si>
  <si>
    <t>0300002</t>
  </si>
  <si>
    <t>0300003</t>
  </si>
  <si>
    <t>0300004</t>
  </si>
  <si>
    <t>0300005</t>
  </si>
  <si>
    <t>0300006</t>
  </si>
  <si>
    <t>0300007</t>
  </si>
  <si>
    <t>0400001</t>
  </si>
  <si>
    <t>0400002</t>
  </si>
  <si>
    <t>0600001</t>
  </si>
  <si>
    <t>0600002</t>
  </si>
  <si>
    <t>0600003</t>
  </si>
  <si>
    <t>0600004</t>
  </si>
  <si>
    <t>0600005</t>
  </si>
  <si>
    <t>0600006</t>
  </si>
  <si>
    <t>0600007</t>
  </si>
  <si>
    <t>0600008</t>
  </si>
  <si>
    <t>0600009</t>
  </si>
  <si>
    <t>0600010</t>
  </si>
  <si>
    <t>0600011</t>
  </si>
  <si>
    <t>0700001</t>
  </si>
  <si>
    <t>0700002</t>
  </si>
  <si>
    <t>0800001</t>
  </si>
  <si>
    <t>1200001</t>
  </si>
  <si>
    <t>1200002</t>
  </si>
  <si>
    <t>1200003</t>
  </si>
  <si>
    <t>1200004</t>
  </si>
  <si>
    <t>1200005</t>
  </si>
  <si>
    <t>1200006</t>
  </si>
  <si>
    <t>PHENAC_CAE(mg)</t>
  </si>
  <si>
    <t>STARES3(g)</t>
  </si>
  <si>
    <t xml:space="preserve">CRYPXA(mcg) </t>
  </si>
  <si>
    <t>VITK2(mcg)</t>
  </si>
  <si>
    <t>HEMATIN(mg)</t>
  </si>
  <si>
    <t>PROTCNT</t>
  </si>
  <si>
    <t>PROTCNP</t>
  </si>
  <si>
    <t>VITK1(mcg)</t>
  </si>
  <si>
    <t>pH, hydrogen ion concentration</t>
  </si>
  <si>
    <t>CELLU</t>
  </si>
  <si>
    <t>CHOCALOH</t>
  </si>
  <si>
    <t>F18D1N6</t>
  </si>
  <si>
    <t>F20D1CN11</t>
  </si>
  <si>
    <t>FIBAD</t>
  </si>
  <si>
    <t xml:space="preserve">Includes cellulose, lignin, and some hemicelluloses. </t>
  </si>
  <si>
    <t>FIBINS</t>
  </si>
  <si>
    <t xml:space="preserve">Mixture of insoluble components from the AOAC total dietary fibre method; includes lignin, cellulose, and most of the hemicellulose. </t>
  </si>
  <si>
    <t>FIBSOL</t>
  </si>
  <si>
    <t xml:space="preserve">Mixture of soluble components from the AOAC total dietary fibre method; includes algal polysaccharides, gums, pectins, and mucilages. </t>
  </si>
  <si>
    <t>FIBND</t>
  </si>
  <si>
    <t>Includes lignin, cellulose, and insoluble hemicellulose</t>
  </si>
  <si>
    <t>FLAVD</t>
  </si>
  <si>
    <t>LIGN</t>
  </si>
  <si>
    <t>Fibre fractions</t>
  </si>
  <si>
    <t>PYRXNHCL</t>
  </si>
  <si>
    <t>SB</t>
  </si>
  <si>
    <t>Includes both elemental and ionic forms.</t>
  </si>
  <si>
    <t>STARCH</t>
  </si>
  <si>
    <t>starch, total</t>
  </si>
  <si>
    <t>STARCH-</t>
  </si>
  <si>
    <t>starch, total, expression unknown</t>
  </si>
  <si>
    <t>The sum of all polysaccharides yielding glucose after hydrolysis with suitable enzymes; includes amylose, amylopectin, glycogen, and dextrins. The expression is unknown if by weight or in monosaccharide equivalent</t>
  </si>
  <si>
    <t>The sum of all polysaccharides yielding glucose after hydrolysis with suitable enzymes; includes amylose, amylopectin, glycogen, and dextrins. There are uncertanties if it should include or exclude resistant starch and modified starch.</t>
  </si>
  <si>
    <t>STARES</t>
  </si>
  <si>
    <t>starch, resistant</t>
  </si>
  <si>
    <t>Retrograded starch</t>
  </si>
  <si>
    <t>SUGAR-</t>
  </si>
  <si>
    <t>SUGNRD</t>
  </si>
  <si>
    <t>SUGRD</t>
  </si>
  <si>
    <t>Sugars, total, expression unknown</t>
  </si>
  <si>
    <t>Sugars, non-reducing</t>
  </si>
  <si>
    <t>Sugars, reducing</t>
  </si>
  <si>
    <t>Sum of free monosaccharides and disaccharides. The expression is unknown if by weight or in monosaccharide equivalent</t>
  </si>
  <si>
    <t>Other nitrogen containing components</t>
  </si>
  <si>
    <t>CYAN</t>
  </si>
  <si>
    <t>FAPUCN6</t>
  </si>
  <si>
    <t>FAPUCN9</t>
  </si>
  <si>
    <t>FAPUCN3</t>
  </si>
  <si>
    <t>FAPULCCN3</t>
  </si>
  <si>
    <t>Philippines, Manila</t>
  </si>
  <si>
    <t>Rice, brown, raw</t>
  </si>
  <si>
    <t>Indonesia, Ujung Pandang, South Sulawesi</t>
  </si>
  <si>
    <t>Philippines, Los Baῆos, Laguna</t>
  </si>
  <si>
    <t>Dry season 1989: IR 65, IR 24, IR 64, IR 8, IR 30 and IR 36. Wet season 1989: IR 72</t>
  </si>
  <si>
    <t>The author confirmed the mineral values in % could be converted to mg/100g</t>
  </si>
  <si>
    <t>r047</t>
  </si>
  <si>
    <t>Table 2 not entered because on dry matter basis and no water content given</t>
  </si>
  <si>
    <t>r055</t>
  </si>
  <si>
    <t>Composite sample of the varieties IR 65, IR 24, IR 64, IR 8, IR 30, IR 36 and IR 72</t>
  </si>
  <si>
    <t xml:space="preserve">Composite sample of varieties Gati, Gemar, IR32, IR44. Sulphur deficient soil without Sulfur amelioration </t>
  </si>
  <si>
    <t xml:space="preserve">Composite sample of varieties Gati, Gemar, IR32, IR44. Sulphur deficient soil with Sulfur amelioration </t>
  </si>
  <si>
    <t xml:space="preserve">Composite samples of varieties Barito, Cisdane, IR30, IR36, IR54, IR9729-67-3 and IR13420-32-4. Sulphur deficient soil without Sulfur amelioration </t>
  </si>
  <si>
    <t>Composite samples of varieties Barito, Cisdane, IR30, IR36, IR54, IR9729-67-3 and IR13420-32-4. Sulphur deficient soil +50kg/ha Sulfur</t>
  </si>
  <si>
    <t>Composite sample of varieties IR42, IR54, IR56, IR60, IR64 and Syntha. Sulphur deficient soil, 1ppm Sulfur amelioration</t>
  </si>
  <si>
    <t>Composite sample of varieties IR42, IR54, IR56, IR60, IR64 and Syntha. Sulphur deficient soil, 10ppm Sulfur amelioration</t>
  </si>
  <si>
    <t>Brazil, States of Rio Grande do Sul and Santa Catarina</t>
  </si>
  <si>
    <t>steamed for 60 minutes</t>
  </si>
  <si>
    <t>Rice, Glutinous, white, raw</t>
  </si>
  <si>
    <t>Rice, bran, laboratory defatted, raw</t>
  </si>
  <si>
    <t>Rice, bran, commercial defatted, raw</t>
  </si>
  <si>
    <t>Polished</t>
  </si>
  <si>
    <t>Rice, long grain, white, ecological Jasmine, raw</t>
  </si>
  <si>
    <t>Rice, short grain, white, instant flakes</t>
  </si>
  <si>
    <t>Rice, short grain, white, ecological, raw</t>
  </si>
  <si>
    <t>Salem Samba</t>
  </si>
  <si>
    <t>Lot A</t>
  </si>
  <si>
    <t>Lot B</t>
  </si>
  <si>
    <t>Lot C</t>
  </si>
  <si>
    <t>Rice, bran, untreated, raw</t>
  </si>
  <si>
    <t>Rice, long grain, milled, parboiled</t>
  </si>
  <si>
    <t>Rice, long grain, milled, raw</t>
  </si>
  <si>
    <t>Rice, long grain, brown, cooked</t>
  </si>
  <si>
    <t>Rice, long grain, white, cooked</t>
  </si>
  <si>
    <t>Rice, bran, steamed</t>
  </si>
  <si>
    <t>Rice, bran, steamed for 60 minutes, fermented</t>
  </si>
  <si>
    <t>Rice, Jasmine, white, raw</t>
  </si>
  <si>
    <t>Rice, Jasmine, brown, raw</t>
  </si>
  <si>
    <t>Rice, Glutinous, black, raw</t>
  </si>
  <si>
    <t>Rice, long grain, white, Asian, raw</t>
  </si>
  <si>
    <t>Rice, long grain, white, Basmati, raw</t>
  </si>
  <si>
    <t>Rice, long grain, white, Jasmine, raw</t>
  </si>
  <si>
    <t>Soil without fly ash, dried for 48h on open drying, dehusked, polished at 10% polishing</t>
  </si>
  <si>
    <t>Soil with fly ash, dried for 48h on open drying, dehusked, polished at 10% polishing</t>
  </si>
  <si>
    <t>Rice, Asian Indian variety, milled, organic, raw</t>
  </si>
  <si>
    <t>Rice bran, Asian Indian variety, organic, raw</t>
  </si>
  <si>
    <t>Rice, bran, treated with Candida utilis strain IFO1086, raw</t>
  </si>
  <si>
    <t>Rice, bran, treated with Candida utilis strain IFO0626, raw</t>
  </si>
  <si>
    <t>Juliano B.O., Ibabao M.G.B., Perez C.M., Clark R.B., Maranville J.W., Mamaril C.P., Choudhury N.H., Momuat C.J.S., Corpuz I.T. (1987) Effect of soil sulfur deficiency on sulfur amino acids and elements in brown rice. Cereal Chemistry 64(1), 27-30</t>
  </si>
  <si>
    <t xml:space="preserve">Villareal C.P.,Maranville J.W., Juliano B.O. (1991). Nutrient Content and Retention During Milling of Brown Rices from the International Rice Research Institute. Cereal Chemistry Vol. 68(4), pp. 437-439
</t>
  </si>
  <si>
    <r>
      <t xml:space="preserve">FAO </t>
    </r>
    <r>
      <rPr>
        <sz val="10"/>
        <color indexed="8"/>
        <rFont val="Calibri"/>
        <family val="2"/>
      </rPr>
      <t>©</t>
    </r>
    <r>
      <rPr>
        <sz val="10"/>
        <color indexed="8"/>
        <rFont val="Arial"/>
        <family val="2"/>
      </rPr>
      <t xml:space="preserve"> 2016</t>
    </r>
  </si>
  <si>
    <t xml:space="preserve">The FAO/INFOODS Analytical Food Composition Database Version 1.1 (AnFooD1.1) PDF manual is available online at  http://www.fao.org/3/a-i5399e.pdf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</si>
</sst>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2" x14ac:knownFonts="1">
    <font>
      <sz val="10"/>
      <color theme="1"/>
      <name val="Arial"/>
      <family val="2"/>
    </font>
    <font>
      <b/>
      <sz val="9"/>
      <color indexed="81"/>
      <name val="Tahoma"/>
      <family val="2"/>
    </font>
    <font>
      <sz val="9"/>
      <color indexed="81"/>
      <name val="Tahoma"/>
      <family val="2"/>
    </font>
    <font>
      <sz val="10"/>
      <name val="Arial"/>
      <family val="2"/>
    </font>
    <font>
      <sz val="10"/>
      <color indexed="8"/>
      <name val="Calibri"/>
      <family val="2"/>
    </font>
    <font>
      <sz val="11"/>
      <color indexed="8"/>
      <name val="Calibri"/>
      <family val="2"/>
    </font>
    <font>
      <sz val="10"/>
      <color theme="1"/>
      <name val="Arial"/>
      <family val="2"/>
    </font>
    <font>
      <u/>
      <sz val="8"/>
      <color theme="10"/>
      <name val="Arial"/>
      <family val="2"/>
    </font>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
      <sz val="10"/>
      <name val="Calibri"/>
      <family val="2"/>
      <scheme val="minor"/>
    </font>
    <font>
      <b/>
      <sz val="10"/>
      <name val="Calibri"/>
      <family val="2"/>
      <scheme val="minor"/>
    </font>
    <font>
      <sz val="10"/>
      <color rgb="FFFF0000"/>
      <name val="Calibri"/>
      <family val="2"/>
      <scheme val="minor"/>
    </font>
    <font>
      <sz val="10"/>
      <color rgb="FF000000"/>
      <name val="Arial"/>
      <family val="2"/>
    </font>
    <font>
      <sz val="11"/>
      <name val="Calibri"/>
      <family val="2"/>
      <scheme val="minor"/>
    </font>
    <font>
      <sz val="11"/>
      <color theme="1"/>
      <name val="Calibri"/>
      <family val="2"/>
    </font>
    <font>
      <sz val="10"/>
      <color theme="1"/>
      <name val="Calibri"/>
      <family val="2"/>
    </font>
    <font>
      <sz val="10"/>
      <color indexed="8"/>
      <name val="Arial"/>
      <family val="2"/>
    </font>
    <font>
      <sz val="10"/>
      <color theme="3"/>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6" fillId="0" borderId="0"/>
  </cellStyleXfs>
  <cellXfs count="76">
    <xf numFmtId="0" fontId="0" fillId="0" borderId="0" xfId="0"/>
    <xf numFmtId="0" fontId="9" fillId="0" borderId="0" xfId="0" applyFont="1"/>
    <xf numFmtId="0" fontId="10" fillId="0" borderId="0" xfId="0" applyFont="1"/>
    <xf numFmtId="0" fontId="11" fillId="0" borderId="0" xfId="0" applyFont="1"/>
    <xf numFmtId="0" fontId="10" fillId="0" borderId="0" xfId="0" applyFont="1" applyAlignment="1">
      <alignment horizontal="center" vertical="top" wrapText="1"/>
    </xf>
    <xf numFmtId="0" fontId="9" fillId="0" borderId="0" xfId="0" applyFont="1" applyAlignment="1">
      <alignment horizontal="center" vertical="top" wrapText="1"/>
    </xf>
    <xf numFmtId="164" fontId="9" fillId="0" borderId="0" xfId="0" applyNumberFormat="1" applyFont="1"/>
    <xf numFmtId="0" fontId="12" fillId="0" borderId="0" xfId="0" applyFont="1"/>
    <xf numFmtId="0" fontId="10" fillId="0" borderId="0" xfId="0" applyFont="1" applyAlignment="1">
      <alignment wrapText="1"/>
    </xf>
    <xf numFmtId="0" fontId="10" fillId="0" borderId="0" xfId="0" applyFont="1" applyAlignment="1">
      <alignment horizontal="center" wrapText="1"/>
    </xf>
    <xf numFmtId="0" fontId="0" fillId="2" borderId="0" xfId="0" applyFill="1"/>
    <xf numFmtId="49" fontId="13" fillId="0" borderId="0" xfId="0" applyNumberFormat="1" applyFont="1" applyFill="1"/>
    <xf numFmtId="0" fontId="13" fillId="0" borderId="0" xfId="0" applyFont="1" applyFill="1"/>
    <xf numFmtId="1" fontId="13" fillId="0" borderId="0" xfId="0" applyNumberFormat="1" applyFont="1" applyFill="1"/>
    <xf numFmtId="0" fontId="13" fillId="0" borderId="0" xfId="0" applyFont="1" applyFill="1" applyAlignment="1">
      <alignment horizontal="right"/>
    </xf>
    <xf numFmtId="49" fontId="14" fillId="0" borderId="0" xfId="0" applyNumberFormat="1" applyFont="1" applyFill="1" applyAlignment="1">
      <alignment horizontal="center" vertical="top" wrapText="1"/>
    </xf>
    <xf numFmtId="0" fontId="14" fillId="0" borderId="0" xfId="0" applyFont="1" applyFill="1" applyAlignment="1">
      <alignment horizontal="center" vertical="top" wrapText="1"/>
    </xf>
    <xf numFmtId="0" fontId="14" fillId="0" borderId="0" xfId="0" applyFont="1" applyFill="1" applyAlignment="1">
      <alignment vertical="top"/>
    </xf>
    <xf numFmtId="0" fontId="14" fillId="0" borderId="0" xfId="0" applyFont="1" applyFill="1" applyAlignment="1">
      <alignment horizontal="center" vertical="top"/>
    </xf>
    <xf numFmtId="0" fontId="13" fillId="0" borderId="0" xfId="0" applyFont="1"/>
    <xf numFmtId="164" fontId="13" fillId="0" borderId="0" xfId="0" applyNumberFormat="1" applyFont="1" applyFill="1"/>
    <xf numFmtId="2" fontId="13" fillId="0" borderId="0" xfId="0" applyNumberFormat="1" applyFont="1" applyFill="1"/>
    <xf numFmtId="164" fontId="15" fillId="0" borderId="0" xfId="0" applyNumberFormat="1" applyFont="1" applyFill="1"/>
    <xf numFmtId="0" fontId="14" fillId="0" borderId="0" xfId="0" applyFont="1" applyAlignment="1">
      <alignment vertical="top"/>
    </xf>
    <xf numFmtId="165" fontId="13" fillId="0" borderId="0" xfId="0" applyNumberFormat="1" applyFont="1" applyFill="1"/>
    <xf numFmtId="0" fontId="16" fillId="0" borderId="0" xfId="0" applyFont="1"/>
    <xf numFmtId="2" fontId="13" fillId="0" borderId="0" xfId="0" applyNumberFormat="1" applyFont="1" applyFill="1" applyAlignment="1">
      <alignment horizontal="right"/>
    </xf>
    <xf numFmtId="0" fontId="13" fillId="0" borderId="0" xfId="0" applyFont="1" applyFill="1" applyAlignment="1"/>
    <xf numFmtId="49" fontId="9" fillId="0" borderId="0" xfId="0" applyNumberFormat="1" applyFont="1"/>
    <xf numFmtId="0" fontId="14" fillId="0" borderId="0" xfId="2" applyFont="1" applyFill="1" applyAlignment="1">
      <alignment horizontal="center" vertical="top" wrapText="1"/>
    </xf>
    <xf numFmtId="0" fontId="13" fillId="0" borderId="0" xfId="2" applyFont="1" applyFill="1" applyAlignment="1">
      <alignment horizontal="center" vertical="top" wrapText="1"/>
    </xf>
    <xf numFmtId="0" fontId="17" fillId="0" borderId="0" xfId="0" applyFont="1" applyAlignment="1">
      <alignment horizontal="center" vertical="top" wrapText="1"/>
    </xf>
    <xf numFmtId="0" fontId="3" fillId="0" borderId="0" xfId="0" applyFont="1" applyAlignment="1">
      <alignment vertical="top"/>
    </xf>
    <xf numFmtId="0" fontId="14" fillId="2" borderId="0" xfId="0" applyFont="1" applyFill="1" applyAlignment="1">
      <alignment vertical="top"/>
    </xf>
    <xf numFmtId="0" fontId="9" fillId="0" borderId="0" xfId="0" applyFont="1" applyFill="1"/>
    <xf numFmtId="49" fontId="13" fillId="0" borderId="0" xfId="0" applyNumberFormat="1" applyFont="1" applyFill="1" applyAlignment="1">
      <alignment horizontal="right"/>
    </xf>
    <xf numFmtId="0" fontId="9" fillId="0" borderId="0" xfId="0" applyFont="1" applyFill="1" applyAlignment="1">
      <alignment horizontal="right"/>
    </xf>
    <xf numFmtId="49" fontId="9" fillId="0" borderId="0" xfId="0" applyNumberFormat="1" applyFont="1" applyFill="1" applyAlignment="1">
      <alignment horizontal="right"/>
    </xf>
    <xf numFmtId="0" fontId="14" fillId="2" borderId="0" xfId="0" applyFont="1" applyFill="1" applyAlignment="1">
      <alignment vertical="top" wrapText="1"/>
    </xf>
    <xf numFmtId="0" fontId="13" fillId="0" borderId="0" xfId="0" applyFont="1" applyFill="1" applyAlignment="1">
      <alignment wrapText="1"/>
    </xf>
    <xf numFmtId="0" fontId="9" fillId="0" borderId="0" xfId="0" applyFont="1" applyFill="1" applyAlignment="1">
      <alignment horizontal="left"/>
    </xf>
    <xf numFmtId="0" fontId="8" fillId="0" borderId="0" xfId="2" applyFont="1"/>
    <xf numFmtId="0" fontId="13" fillId="0" borderId="0" xfId="0" applyFont="1" applyFill="1" applyAlignment="1">
      <alignment horizontal="left"/>
    </xf>
    <xf numFmtId="0" fontId="13" fillId="0" borderId="0" xfId="0" applyFont="1" applyFill="1" applyAlignment="1">
      <alignment horizontal="center" vertical="top" wrapText="1"/>
    </xf>
    <xf numFmtId="0" fontId="9" fillId="0" borderId="0" xfId="0" applyFont="1" applyAlignment="1">
      <alignment vertical="top"/>
    </xf>
    <xf numFmtId="0" fontId="9" fillId="0" borderId="0" xfId="0" applyFont="1" applyAlignment="1">
      <alignment horizontal="center" vertical="top"/>
    </xf>
    <xf numFmtId="0" fontId="18" fillId="0" borderId="0" xfId="0" applyFont="1"/>
    <xf numFmtId="0" fontId="10" fillId="0" borderId="0" xfId="0" applyFont="1" applyFill="1" applyAlignment="1">
      <alignment horizontal="center" vertical="top" wrapText="1"/>
    </xf>
    <xf numFmtId="0" fontId="9" fillId="0" borderId="0" xfId="0" applyFont="1" applyFill="1" applyAlignment="1">
      <alignment horizontal="center" vertical="top" wrapText="1"/>
    </xf>
    <xf numFmtId="0" fontId="10" fillId="0" borderId="0" xfId="2" applyFont="1" applyFill="1" applyAlignment="1">
      <alignment horizontal="center" vertical="top" wrapText="1"/>
    </xf>
    <xf numFmtId="0" fontId="9" fillId="0" borderId="0" xfId="2" applyFont="1" applyFill="1" applyAlignment="1">
      <alignment horizontal="center" vertical="top" wrapText="1"/>
    </xf>
    <xf numFmtId="0" fontId="14" fillId="0" borderId="0" xfId="0" applyFont="1" applyFill="1" applyBorder="1" applyAlignment="1">
      <alignment horizontal="center" vertical="top" wrapText="1"/>
    </xf>
    <xf numFmtId="0" fontId="10" fillId="0" borderId="0" xfId="0" applyFont="1" applyFill="1" applyAlignment="1">
      <alignment horizontal="center" vertical="top"/>
    </xf>
    <xf numFmtId="14" fontId="13" fillId="0" borderId="0" xfId="0" applyNumberFormat="1" applyFont="1" applyAlignment="1">
      <alignment horizontal="center" vertical="top"/>
    </xf>
    <xf numFmtId="0" fontId="9" fillId="0" borderId="0" xfId="0" applyFont="1" applyAlignment="1">
      <alignment horizontal="right"/>
    </xf>
    <xf numFmtId="0" fontId="14" fillId="0" borderId="0" xfId="0" applyFont="1" applyAlignment="1">
      <alignment horizontal="center" vertical="top" wrapText="1"/>
    </xf>
    <xf numFmtId="0" fontId="13" fillId="0" borderId="0" xfId="0" applyFont="1" applyAlignment="1">
      <alignment horizontal="center" vertical="top" wrapText="1"/>
    </xf>
    <xf numFmtId="1" fontId="13" fillId="0" borderId="0" xfId="0" applyNumberFormat="1" applyFont="1" applyFill="1" applyAlignment="1">
      <alignment horizontal="right"/>
    </xf>
    <xf numFmtId="0" fontId="10" fillId="0" borderId="0" xfId="0" applyFont="1" applyAlignment="1">
      <alignment vertical="top" wrapText="1"/>
    </xf>
    <xf numFmtId="0" fontId="9" fillId="0" borderId="0" xfId="0" applyFont="1" applyAlignment="1">
      <alignment vertical="top" wrapText="1"/>
    </xf>
    <xf numFmtId="0" fontId="10" fillId="0" borderId="0" xfId="0" applyFont="1" applyAlignment="1">
      <alignment horizontal="center" vertical="top"/>
    </xf>
    <xf numFmtId="0" fontId="9" fillId="3" borderId="0" xfId="0" applyFont="1" applyFill="1" applyAlignment="1">
      <alignment horizontal="center" vertical="top" wrapText="1"/>
    </xf>
    <xf numFmtId="0" fontId="9" fillId="0" borderId="0" xfId="0" applyFont="1" applyAlignment="1">
      <alignment wrapText="1"/>
    </xf>
    <xf numFmtId="0" fontId="9" fillId="0" borderId="0" xfId="0" applyFont="1" applyFill="1" applyAlignment="1"/>
    <xf numFmtId="0" fontId="9" fillId="0" borderId="0" xfId="0" applyFont="1" applyFill="1" applyAlignment="1">
      <alignment vertical="top"/>
    </xf>
    <xf numFmtId="0" fontId="9" fillId="0" borderId="0" xfId="0" applyFont="1" applyFill="1" applyBorder="1" applyAlignment="1"/>
    <xf numFmtId="0" fontId="13" fillId="0" borderId="0" xfId="1" applyFont="1" applyFill="1" applyAlignment="1" applyProtection="1"/>
    <xf numFmtId="0" fontId="17" fillId="0" borderId="0" xfId="0" applyFont="1" applyFill="1"/>
    <xf numFmtId="0" fontId="9" fillId="0" borderId="0" xfId="0" applyFont="1" applyFill="1" applyAlignment="1">
      <alignment horizontal="left" vertical="center"/>
    </xf>
    <xf numFmtId="0" fontId="19" fillId="0" borderId="0" xfId="0" applyFont="1"/>
    <xf numFmtId="49" fontId="13" fillId="0" borderId="0" xfId="0" applyNumberFormat="1" applyFont="1"/>
    <xf numFmtId="164" fontId="9" fillId="0" borderId="0" xfId="0" applyNumberFormat="1" applyFont="1" applyFill="1"/>
    <xf numFmtId="2" fontId="9" fillId="0" borderId="0" xfId="0" applyNumberFormat="1" applyFont="1" applyFill="1"/>
    <xf numFmtId="2" fontId="13" fillId="0" borderId="0" xfId="0" applyNumberFormat="1" applyFont="1"/>
    <xf numFmtId="0" fontId="21" fillId="2" borderId="0" xfId="0" applyFont="1" applyFill="1" applyAlignment="1">
      <alignment horizontal="left" wrapText="1"/>
    </xf>
    <xf numFmtId="0" fontId="21" fillId="2" borderId="0" xfId="0" applyFont="1" applyFill="1" applyAlignment="1">
      <alignment horizontal="left"/>
    </xf>
  </cellXfs>
  <cellStyles count="4">
    <cellStyle name="Hyperlink" xfId="1" builtinId="8"/>
    <cellStyle name="Normal" xfId="0" builtinId="0"/>
    <cellStyle name="Normal 2" xfId="3"/>
    <cellStyle name="Normal 3"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6:K9"/>
  <sheetViews>
    <sheetView tabSelected="1" zoomScaleNormal="100" workbookViewId="0">
      <selection activeCell="D22" sqref="D22"/>
    </sheetView>
  </sheetViews>
  <sheetFormatPr defaultColWidth="11.42578125" defaultRowHeight="12.75" x14ac:dyDescent="0.2"/>
  <cols>
    <col min="1" max="16384" width="11.42578125" style="10"/>
  </cols>
  <sheetData>
    <row r="6" spans="1:11" x14ac:dyDescent="0.2">
      <c r="A6" s="10" t="s">
        <v>7704</v>
      </c>
    </row>
    <row r="8" spans="1:11" x14ac:dyDescent="0.2">
      <c r="A8" s="74" t="s">
        <v>7705</v>
      </c>
      <c r="B8" s="75"/>
      <c r="C8" s="75"/>
      <c r="D8" s="75"/>
      <c r="E8" s="75"/>
      <c r="F8" s="75"/>
      <c r="G8" s="75"/>
      <c r="H8" s="75"/>
      <c r="I8" s="75"/>
      <c r="J8" s="75"/>
      <c r="K8" s="75"/>
    </row>
    <row r="9" spans="1:11" x14ac:dyDescent="0.2">
      <c r="A9" s="75"/>
      <c r="B9" s="75"/>
      <c r="C9" s="75"/>
      <c r="D9" s="75"/>
      <c r="E9" s="75"/>
      <c r="F9" s="75"/>
      <c r="G9" s="75"/>
      <c r="H9" s="75"/>
      <c r="I9" s="75"/>
      <c r="J9" s="75"/>
      <c r="K9" s="75"/>
    </row>
  </sheetData>
  <mergeCells count="1">
    <mergeCell ref="A8:K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O5"/>
  <sheetViews>
    <sheetView zoomScaleNormal="100" workbookViewId="0">
      <pane ySplit="3" topLeftCell="A4" activePane="bottomLeft" state="frozen"/>
      <selection pane="bottomLeft"/>
    </sheetView>
  </sheetViews>
  <sheetFormatPr defaultColWidth="11.42578125" defaultRowHeight="12.75" x14ac:dyDescent="0.2"/>
  <cols>
    <col min="1" max="16384" width="11.42578125" style="1"/>
  </cols>
  <sheetData>
    <row r="1" spans="1:249" s="4" customFormat="1"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47" t="s">
        <v>1069</v>
      </c>
      <c r="P1" s="47" t="s">
        <v>243</v>
      </c>
      <c r="Q1" s="47" t="s">
        <v>244</v>
      </c>
      <c r="R1" s="47" t="s">
        <v>6806</v>
      </c>
      <c r="S1" s="47" t="s">
        <v>1070</v>
      </c>
      <c r="T1" s="4" t="s">
        <v>73</v>
      </c>
      <c r="U1" s="4" t="s">
        <v>74</v>
      </c>
      <c r="V1" s="47" t="s">
        <v>1071</v>
      </c>
      <c r="W1" s="4" t="s">
        <v>6212</v>
      </c>
      <c r="X1" s="4" t="s">
        <v>246</v>
      </c>
      <c r="Y1" s="47" t="s">
        <v>1073</v>
      </c>
      <c r="Z1" s="4" t="s">
        <v>76</v>
      </c>
      <c r="AA1" s="4" t="s">
        <v>77</v>
      </c>
      <c r="AB1" s="47" t="s">
        <v>1074</v>
      </c>
      <c r="AC1" s="47" t="s">
        <v>1075</v>
      </c>
      <c r="AD1" s="47" t="s">
        <v>1076</v>
      </c>
      <c r="AE1" s="4" t="s">
        <v>79</v>
      </c>
      <c r="AF1" s="4" t="s">
        <v>80</v>
      </c>
      <c r="AG1" s="47" t="s">
        <v>247</v>
      </c>
      <c r="AH1" s="49" t="s">
        <v>1078</v>
      </c>
      <c r="AI1" s="47" t="s">
        <v>6219</v>
      </c>
      <c r="AJ1" s="47" t="s">
        <v>6220</v>
      </c>
      <c r="AK1" s="47" t="s">
        <v>6221</v>
      </c>
      <c r="AL1" s="4" t="s">
        <v>82</v>
      </c>
      <c r="AM1" s="4" t="s">
        <v>83</v>
      </c>
      <c r="AN1" s="47" t="s">
        <v>6224</v>
      </c>
      <c r="AO1" s="47" t="s">
        <v>6264</v>
      </c>
      <c r="AP1" s="4" t="s">
        <v>84</v>
      </c>
      <c r="AQ1" s="4" t="s">
        <v>85</v>
      </c>
      <c r="AR1" s="47" t="s">
        <v>1082</v>
      </c>
      <c r="AS1" s="47" t="s">
        <v>250</v>
      </c>
      <c r="AT1" s="47" t="s">
        <v>1083</v>
      </c>
      <c r="AU1" s="4" t="s">
        <v>86</v>
      </c>
      <c r="AV1" s="4" t="s">
        <v>87</v>
      </c>
      <c r="AW1" s="51" t="s">
        <v>7609</v>
      </c>
      <c r="AX1" s="47" t="s">
        <v>1084</v>
      </c>
      <c r="AY1" s="4" t="s">
        <v>88</v>
      </c>
      <c r="AZ1" s="4" t="s">
        <v>89</v>
      </c>
      <c r="BA1" s="47" t="s">
        <v>251</v>
      </c>
      <c r="BB1" s="47" t="s">
        <v>1085</v>
      </c>
      <c r="BC1" s="4" t="s">
        <v>90</v>
      </c>
      <c r="BD1" s="47" t="s">
        <v>1087</v>
      </c>
      <c r="BE1" s="4" t="s">
        <v>91</v>
      </c>
      <c r="BF1" s="47" t="s">
        <v>1089</v>
      </c>
      <c r="BG1" s="47" t="s">
        <v>1090</v>
      </c>
      <c r="BH1" s="47" t="s">
        <v>6827</v>
      </c>
      <c r="BI1" s="4" t="s">
        <v>92</v>
      </c>
      <c r="BJ1" s="47" t="s">
        <v>1093</v>
      </c>
      <c r="BK1" s="47" t="s">
        <v>1080</v>
      </c>
      <c r="BL1" s="47" t="s">
        <v>1094</v>
      </c>
      <c r="BM1" s="47" t="s">
        <v>252</v>
      </c>
      <c r="BN1" s="47" t="s">
        <v>1097</v>
      </c>
      <c r="BO1" s="47" t="s">
        <v>253</v>
      </c>
      <c r="BP1" s="47" t="s">
        <v>1099</v>
      </c>
      <c r="BQ1" s="47" t="s">
        <v>6836</v>
      </c>
      <c r="BR1" s="47" t="s">
        <v>1100</v>
      </c>
      <c r="BS1" s="47" t="s">
        <v>1101</v>
      </c>
      <c r="BT1" s="47" t="s">
        <v>6837</v>
      </c>
      <c r="BU1" s="47" t="s">
        <v>1098</v>
      </c>
      <c r="BV1" s="47" t="s">
        <v>6228</v>
      </c>
      <c r="BW1" s="47" t="s">
        <v>6229</v>
      </c>
      <c r="BX1" s="47" t="s">
        <v>1102</v>
      </c>
      <c r="BY1" s="47" t="s">
        <v>256</v>
      </c>
      <c r="BZ1" s="47" t="s">
        <v>257</v>
      </c>
      <c r="CA1" s="47" t="s">
        <v>7190</v>
      </c>
      <c r="CB1" s="47" t="s">
        <v>258</v>
      </c>
      <c r="CC1" s="47" t="s">
        <v>6233</v>
      </c>
      <c r="CD1" s="47" t="s">
        <v>6234</v>
      </c>
      <c r="CE1" s="47" t="s">
        <v>6849</v>
      </c>
      <c r="CF1" s="47" t="s">
        <v>6609</v>
      </c>
      <c r="CG1" s="47" t="s">
        <v>6850</v>
      </c>
      <c r="CH1" s="47" t="s">
        <v>6236</v>
      </c>
      <c r="CI1" s="47" t="s">
        <v>1106</v>
      </c>
      <c r="CJ1" s="47" t="s">
        <v>6851</v>
      </c>
      <c r="CK1" s="47" t="s">
        <v>6852</v>
      </c>
      <c r="CL1" s="47" t="s">
        <v>1105</v>
      </c>
      <c r="CM1" s="47" t="s">
        <v>1111</v>
      </c>
      <c r="CN1" s="4" t="s">
        <v>93</v>
      </c>
      <c r="CO1" s="4" t="s">
        <v>94</v>
      </c>
      <c r="CP1" s="47" t="s">
        <v>6864</v>
      </c>
      <c r="CQ1" s="47" t="s">
        <v>1107</v>
      </c>
      <c r="CR1" s="4" t="s">
        <v>95</v>
      </c>
      <c r="CS1" s="47" t="s">
        <v>1108</v>
      </c>
      <c r="CT1" s="47" t="s">
        <v>1110</v>
      </c>
      <c r="CU1" s="47" t="s">
        <v>261</v>
      </c>
      <c r="CV1" s="47" t="s">
        <v>6867</v>
      </c>
      <c r="CW1" s="47" t="s">
        <v>1114</v>
      </c>
      <c r="CX1" s="47" t="s">
        <v>262</v>
      </c>
      <c r="CY1" s="47" t="s">
        <v>265</v>
      </c>
      <c r="CZ1" s="47" t="s">
        <v>1126</v>
      </c>
      <c r="DA1" s="47" t="s">
        <v>6868</v>
      </c>
      <c r="DB1" s="47" t="s">
        <v>1128</v>
      </c>
      <c r="DC1" s="47" t="s">
        <v>5156</v>
      </c>
      <c r="DD1" s="47" t="s">
        <v>5157</v>
      </c>
      <c r="DE1" s="47" t="s">
        <v>5158</v>
      </c>
      <c r="DF1" s="16" t="s">
        <v>78</v>
      </c>
      <c r="DG1" s="16" t="s">
        <v>5163</v>
      </c>
      <c r="DH1" s="16" t="s">
        <v>5164</v>
      </c>
      <c r="DI1" s="16" t="s">
        <v>5166</v>
      </c>
      <c r="DJ1" s="16" t="s">
        <v>112</v>
      </c>
      <c r="DK1" s="16" t="s">
        <v>113</v>
      </c>
      <c r="DL1" s="16" t="s">
        <v>114</v>
      </c>
      <c r="DM1" s="16" t="s">
        <v>115</v>
      </c>
      <c r="DN1" s="16" t="s">
        <v>5169</v>
      </c>
      <c r="DO1" s="16" t="s">
        <v>6869</v>
      </c>
      <c r="DP1" s="16" t="s">
        <v>116</v>
      </c>
      <c r="DQ1" s="16" t="s">
        <v>117</v>
      </c>
      <c r="DR1" s="16" t="s">
        <v>5172</v>
      </c>
      <c r="DS1" s="16" t="s">
        <v>5173</v>
      </c>
      <c r="DT1" s="16" t="s">
        <v>118</v>
      </c>
      <c r="DU1" s="16" t="s">
        <v>5174</v>
      </c>
      <c r="DV1" s="16" t="s">
        <v>119</v>
      </c>
      <c r="DW1" s="16" t="s">
        <v>120</v>
      </c>
      <c r="DX1" s="16" t="s">
        <v>121</v>
      </c>
      <c r="DY1" s="16" t="s">
        <v>5175</v>
      </c>
      <c r="DZ1" s="16" t="s">
        <v>122</v>
      </c>
      <c r="EA1" s="16" t="s">
        <v>5176</v>
      </c>
      <c r="EB1" s="16" t="s">
        <v>5177</v>
      </c>
      <c r="EC1" s="16" t="s">
        <v>5178</v>
      </c>
      <c r="ED1" s="16" t="s">
        <v>6870</v>
      </c>
      <c r="EE1" s="16" t="s">
        <v>5179</v>
      </c>
      <c r="EF1" s="16" t="s">
        <v>5181</v>
      </c>
      <c r="EG1" s="16" t="s">
        <v>6871</v>
      </c>
      <c r="EH1" s="16" t="s">
        <v>5184</v>
      </c>
      <c r="EI1" s="16" t="s">
        <v>5186</v>
      </c>
      <c r="EJ1" s="16" t="s">
        <v>6872</v>
      </c>
      <c r="EK1" s="16" t="s">
        <v>5187</v>
      </c>
      <c r="EL1" s="16" t="s">
        <v>5188</v>
      </c>
      <c r="EM1" s="16" t="s">
        <v>6873</v>
      </c>
      <c r="EN1" s="16" t="s">
        <v>123</v>
      </c>
      <c r="EO1" s="16" t="s">
        <v>6874</v>
      </c>
      <c r="EP1" s="16" t="s">
        <v>6875</v>
      </c>
      <c r="EQ1" s="16" t="s">
        <v>6876</v>
      </c>
      <c r="ER1" s="16" t="s">
        <v>5191</v>
      </c>
      <c r="ES1" s="16" t="s">
        <v>5193</v>
      </c>
      <c r="ET1" s="16" t="s">
        <v>5195</v>
      </c>
      <c r="EU1" s="51" t="s">
        <v>7441</v>
      </c>
      <c r="EV1" s="16" t="s">
        <v>5196</v>
      </c>
      <c r="EW1" s="16" t="s">
        <v>5197</v>
      </c>
      <c r="EX1" s="16" t="s">
        <v>5198</v>
      </c>
      <c r="EY1" s="16" t="s">
        <v>6877</v>
      </c>
      <c r="EZ1" s="16" t="s">
        <v>5199</v>
      </c>
      <c r="FA1" s="16" t="s">
        <v>6878</v>
      </c>
      <c r="FB1" s="16" t="s">
        <v>5200</v>
      </c>
      <c r="FC1" s="16" t="s">
        <v>6879</v>
      </c>
      <c r="FD1" s="16" t="s">
        <v>6880</v>
      </c>
      <c r="FE1" s="16" t="s">
        <v>6881</v>
      </c>
      <c r="FF1" s="16" t="s">
        <v>6882</v>
      </c>
      <c r="FG1" s="16" t="s">
        <v>6883</v>
      </c>
      <c r="FH1" s="16" t="s">
        <v>6884</v>
      </c>
      <c r="FI1" s="16" t="s">
        <v>6885</v>
      </c>
      <c r="FJ1" s="16" t="s">
        <v>5202</v>
      </c>
      <c r="FK1" s="16" t="s">
        <v>124</v>
      </c>
      <c r="FL1" s="16" t="s">
        <v>5205</v>
      </c>
      <c r="FM1" s="16" t="s">
        <v>6886</v>
      </c>
      <c r="FN1" s="16" t="s">
        <v>5207</v>
      </c>
      <c r="FO1" s="16" t="s">
        <v>125</v>
      </c>
      <c r="FP1" s="16" t="s">
        <v>126</v>
      </c>
      <c r="FQ1" s="16" t="s">
        <v>6887</v>
      </c>
      <c r="FR1" s="16" t="s">
        <v>127</v>
      </c>
      <c r="FS1" s="16" t="s">
        <v>5216</v>
      </c>
      <c r="FT1" s="16" t="s">
        <v>6888</v>
      </c>
      <c r="FU1" s="16" t="s">
        <v>5218</v>
      </c>
      <c r="FV1" s="16" t="s">
        <v>5220</v>
      </c>
      <c r="FW1" s="16" t="s">
        <v>6889</v>
      </c>
      <c r="FX1" s="16" t="s">
        <v>5221</v>
      </c>
      <c r="FY1" s="16" t="s">
        <v>6890</v>
      </c>
      <c r="FZ1" s="16" t="s">
        <v>129</v>
      </c>
      <c r="GA1" s="16" t="s">
        <v>5226</v>
      </c>
      <c r="GB1" s="16" t="s">
        <v>130</v>
      </c>
      <c r="GC1" s="16" t="s">
        <v>6891</v>
      </c>
      <c r="GD1" s="16" t="s">
        <v>5228</v>
      </c>
      <c r="GE1" s="16" t="s">
        <v>5233</v>
      </c>
      <c r="GF1" s="16" t="s">
        <v>5234</v>
      </c>
      <c r="GG1" s="16" t="s">
        <v>5236</v>
      </c>
      <c r="GH1" s="16" t="s">
        <v>5238</v>
      </c>
      <c r="GI1" s="16" t="s">
        <v>132</v>
      </c>
      <c r="GJ1" s="52" t="s">
        <v>5242</v>
      </c>
      <c r="GK1" s="16" t="s">
        <v>5240</v>
      </c>
      <c r="GL1" s="16" t="s">
        <v>5241</v>
      </c>
      <c r="GM1" s="16" t="s">
        <v>5243</v>
      </c>
      <c r="GN1" s="16" t="s">
        <v>5244</v>
      </c>
      <c r="GO1" s="16" t="s">
        <v>6892</v>
      </c>
      <c r="GP1" s="16" t="s">
        <v>5249</v>
      </c>
      <c r="GQ1" s="16" t="s">
        <v>5252</v>
      </c>
      <c r="GR1" s="16" t="s">
        <v>5253</v>
      </c>
      <c r="GS1" s="16" t="s">
        <v>5254</v>
      </c>
      <c r="GT1" s="16" t="s">
        <v>5255</v>
      </c>
      <c r="GU1" s="16" t="s">
        <v>5256</v>
      </c>
      <c r="GV1" s="16" t="s">
        <v>5259</v>
      </c>
      <c r="GW1" s="16" t="s">
        <v>5260</v>
      </c>
      <c r="GX1" s="16" t="s">
        <v>5265</v>
      </c>
      <c r="GY1" s="51" t="s">
        <v>5269</v>
      </c>
      <c r="GZ1" s="16" t="s">
        <v>5267</v>
      </c>
      <c r="HA1" s="16" t="s">
        <v>5268</v>
      </c>
      <c r="HB1" s="16" t="s">
        <v>6893</v>
      </c>
      <c r="HC1" s="16" t="s">
        <v>6894</v>
      </c>
      <c r="HD1" s="16" t="s">
        <v>6895</v>
      </c>
      <c r="HE1" s="47" t="s">
        <v>6896</v>
      </c>
      <c r="HF1" s="16" t="s">
        <v>6897</v>
      </c>
      <c r="HG1" s="16" t="s">
        <v>6898</v>
      </c>
      <c r="HH1" s="16" t="s">
        <v>151</v>
      </c>
      <c r="HI1" s="16" t="s">
        <v>1125</v>
      </c>
      <c r="HJ1" s="16" t="s">
        <v>1117</v>
      </c>
      <c r="HK1" s="16" t="s">
        <v>1116</v>
      </c>
      <c r="HL1" s="16" t="s">
        <v>1118</v>
      </c>
      <c r="HM1" s="16" t="s">
        <v>133</v>
      </c>
      <c r="HN1" s="16" t="s">
        <v>134</v>
      </c>
      <c r="HO1" s="16" t="s">
        <v>135</v>
      </c>
      <c r="HP1" s="16" t="s">
        <v>267</v>
      </c>
      <c r="HQ1" s="16" t="s">
        <v>136</v>
      </c>
      <c r="HR1" s="16" t="s">
        <v>6899</v>
      </c>
      <c r="HS1" s="16" t="s">
        <v>1119</v>
      </c>
      <c r="HT1" s="16" t="s">
        <v>137</v>
      </c>
      <c r="HU1" s="16" t="s">
        <v>138</v>
      </c>
      <c r="HV1" s="16" t="s">
        <v>139</v>
      </c>
      <c r="HW1" s="16" t="s">
        <v>140</v>
      </c>
      <c r="HX1" s="16" t="s">
        <v>141</v>
      </c>
      <c r="HY1" s="16" t="s">
        <v>142</v>
      </c>
      <c r="HZ1" s="16" t="s">
        <v>143</v>
      </c>
      <c r="IA1" s="16" t="s">
        <v>6900</v>
      </c>
      <c r="IB1" s="16" t="s">
        <v>144</v>
      </c>
      <c r="IC1" s="16" t="s">
        <v>145</v>
      </c>
      <c r="ID1" s="16" t="s">
        <v>146</v>
      </c>
      <c r="IE1" s="16" t="s">
        <v>1122</v>
      </c>
      <c r="IF1" s="16" t="s">
        <v>147</v>
      </c>
      <c r="IG1" s="16" t="s">
        <v>148</v>
      </c>
      <c r="IH1" s="16" t="s">
        <v>149</v>
      </c>
      <c r="II1" s="16" t="s">
        <v>150</v>
      </c>
      <c r="IJ1" s="16" t="s">
        <v>6901</v>
      </c>
      <c r="IK1" s="16" t="s">
        <v>6902</v>
      </c>
      <c r="IL1" s="16" t="s">
        <v>6903</v>
      </c>
      <c r="IM1" s="16" t="s">
        <v>1130</v>
      </c>
      <c r="IN1" s="16" t="s">
        <v>1129</v>
      </c>
      <c r="IO1" s="16" t="s">
        <v>6904</v>
      </c>
    </row>
    <row r="2" spans="1:249" ht="58.5" customHeight="1" x14ac:dyDescent="0.2">
      <c r="A2" s="5"/>
      <c r="B2" s="5" t="s">
        <v>152</v>
      </c>
      <c r="C2" s="5"/>
      <c r="D2" s="5"/>
      <c r="E2" s="5" t="s">
        <v>153</v>
      </c>
      <c r="F2" s="5"/>
      <c r="G2" s="5" t="s">
        <v>154</v>
      </c>
      <c r="H2" s="5" t="s">
        <v>155</v>
      </c>
      <c r="I2" s="5" t="s">
        <v>14</v>
      </c>
      <c r="J2" s="5"/>
      <c r="K2" s="5"/>
      <c r="L2" s="5"/>
      <c r="M2" s="5"/>
      <c r="N2" s="5"/>
      <c r="O2" s="48" t="s">
        <v>6809</v>
      </c>
      <c r="P2" s="48" t="s">
        <v>6714</v>
      </c>
      <c r="Q2" s="48" t="s">
        <v>6807</v>
      </c>
      <c r="R2" s="48" t="s">
        <v>6808</v>
      </c>
      <c r="S2" s="43" t="s">
        <v>6714</v>
      </c>
      <c r="T2" s="43" t="s">
        <v>6715</v>
      </c>
      <c r="U2" s="43" t="s">
        <v>276</v>
      </c>
      <c r="V2" s="48" t="s">
        <v>6810</v>
      </c>
      <c r="W2" s="43" t="s">
        <v>6716</v>
      </c>
      <c r="X2" s="43" t="s">
        <v>6717</v>
      </c>
      <c r="Y2" s="43" t="s">
        <v>6718</v>
      </c>
      <c r="Z2" s="43" t="s">
        <v>6719</v>
      </c>
      <c r="AA2" s="43" t="s">
        <v>6720</v>
      </c>
      <c r="AB2" s="43" t="s">
        <v>6811</v>
      </c>
      <c r="AC2" s="43" t="s">
        <v>6812</v>
      </c>
      <c r="AD2" s="30" t="s">
        <v>6813</v>
      </c>
      <c r="AE2" s="43" t="s">
        <v>6721</v>
      </c>
      <c r="AF2" s="43" t="s">
        <v>6722</v>
      </c>
      <c r="AG2" s="43" t="s">
        <v>6814</v>
      </c>
      <c r="AH2" s="50" t="s">
        <v>6815</v>
      </c>
      <c r="AI2" s="43" t="s">
        <v>6816</v>
      </c>
      <c r="AJ2" s="48" t="s">
        <v>6817</v>
      </c>
      <c r="AK2" s="48" t="s">
        <v>6798</v>
      </c>
      <c r="AL2" s="43" t="s">
        <v>6725</v>
      </c>
      <c r="AM2" s="43" t="s">
        <v>6818</v>
      </c>
      <c r="AN2" s="48" t="s">
        <v>6819</v>
      </c>
      <c r="AO2" s="48" t="s">
        <v>6820</v>
      </c>
      <c r="AP2" s="43" t="s">
        <v>6726</v>
      </c>
      <c r="AQ2" s="43" t="s">
        <v>6727</v>
      </c>
      <c r="AR2" s="48" t="s">
        <v>6821</v>
      </c>
      <c r="AS2" s="43" t="s">
        <v>6822</v>
      </c>
      <c r="AT2" s="48" t="s">
        <v>6823</v>
      </c>
      <c r="AU2" s="43" t="s">
        <v>6728</v>
      </c>
      <c r="AV2" s="43" t="s">
        <v>6729</v>
      </c>
      <c r="AW2" s="43"/>
      <c r="AX2" s="48" t="s">
        <v>6824</v>
      </c>
      <c r="AY2" s="43" t="s">
        <v>6730</v>
      </c>
      <c r="AZ2" s="43" t="s">
        <v>6731</v>
      </c>
      <c r="BA2" s="43" t="s">
        <v>6732</v>
      </c>
      <c r="BB2" s="48" t="s">
        <v>6825</v>
      </c>
      <c r="BC2" s="43" t="s">
        <v>6733</v>
      </c>
      <c r="BD2" s="48" t="s">
        <v>6826</v>
      </c>
      <c r="BE2" s="43" t="s">
        <v>6734</v>
      </c>
      <c r="BF2" s="48" t="s">
        <v>6828</v>
      </c>
      <c r="BG2" s="48" t="s">
        <v>6829</v>
      </c>
      <c r="BH2" s="48" t="s">
        <v>6830</v>
      </c>
      <c r="BI2" s="43" t="s">
        <v>6735</v>
      </c>
      <c r="BJ2" s="48" t="s">
        <v>6831</v>
      </c>
      <c r="BK2" s="48" t="s">
        <v>6832</v>
      </c>
      <c r="BL2" s="48" t="s">
        <v>6833</v>
      </c>
      <c r="BM2" s="48" t="s">
        <v>6834</v>
      </c>
      <c r="BN2" s="48" t="s">
        <v>6835</v>
      </c>
      <c r="BO2" s="43" t="s">
        <v>6838</v>
      </c>
      <c r="BP2" s="48" t="s">
        <v>6839</v>
      </c>
      <c r="BQ2" s="48" t="s">
        <v>6840</v>
      </c>
      <c r="BR2" s="48" t="s">
        <v>1171</v>
      </c>
      <c r="BS2" s="48" t="s">
        <v>6841</v>
      </c>
      <c r="BT2" s="48" t="s">
        <v>6842</v>
      </c>
      <c r="BU2" s="48" t="s">
        <v>6843</v>
      </c>
      <c r="BV2" s="48" t="s">
        <v>6844</v>
      </c>
      <c r="BW2" s="48" t="s">
        <v>6845</v>
      </c>
      <c r="BX2" s="48" t="s">
        <v>6846</v>
      </c>
      <c r="BY2" s="48" t="s">
        <v>6847</v>
      </c>
      <c r="BZ2" s="48" t="s">
        <v>6848</v>
      </c>
      <c r="CA2" s="48" t="s">
        <v>6853</v>
      </c>
      <c r="CB2" s="48" t="s">
        <v>6854</v>
      </c>
      <c r="CC2" s="48" t="s">
        <v>6855</v>
      </c>
      <c r="CD2" s="48" t="s">
        <v>6856</v>
      </c>
      <c r="CE2" s="48" t="s">
        <v>6857</v>
      </c>
      <c r="CF2" s="48" t="s">
        <v>6858</v>
      </c>
      <c r="CG2" s="48" t="s">
        <v>6859</v>
      </c>
      <c r="CH2" s="48" t="s">
        <v>6860</v>
      </c>
      <c r="CI2" s="43" t="s">
        <v>6860</v>
      </c>
      <c r="CJ2" s="48" t="s">
        <v>6861</v>
      </c>
      <c r="CK2" s="48" t="s">
        <v>6862</v>
      </c>
      <c r="CL2" s="48" t="s">
        <v>6862</v>
      </c>
      <c r="CM2" s="48" t="s">
        <v>6863</v>
      </c>
      <c r="CN2" s="43" t="s">
        <v>6736</v>
      </c>
      <c r="CO2" s="43" t="s">
        <v>6737</v>
      </c>
      <c r="CP2" s="48" t="s">
        <v>6865</v>
      </c>
      <c r="CQ2" s="48" t="s">
        <v>6866</v>
      </c>
      <c r="CR2" s="43" t="s">
        <v>6738</v>
      </c>
      <c r="CS2" s="48" t="s">
        <v>6905</v>
      </c>
      <c r="CT2" s="48" t="s">
        <v>6906</v>
      </c>
      <c r="CU2" s="48" t="s">
        <v>6907</v>
      </c>
      <c r="CV2" s="48" t="s">
        <v>6908</v>
      </c>
      <c r="CW2" s="48" t="s">
        <v>6909</v>
      </c>
      <c r="CX2" s="48" t="s">
        <v>6739</v>
      </c>
      <c r="CY2" s="48" t="s">
        <v>6910</v>
      </c>
      <c r="CZ2" s="48" t="s">
        <v>6911</v>
      </c>
      <c r="DA2" s="48" t="s">
        <v>6912</v>
      </c>
      <c r="DB2" s="48" t="s">
        <v>6913</v>
      </c>
      <c r="DC2" s="48" t="s">
        <v>6914</v>
      </c>
      <c r="DD2" s="48" t="s">
        <v>6915</v>
      </c>
      <c r="DE2" s="48" t="s">
        <v>6916</v>
      </c>
      <c r="DF2" s="43" t="s">
        <v>6813</v>
      </c>
      <c r="DG2" s="43" t="s">
        <v>6917</v>
      </c>
      <c r="DH2" s="43" t="s">
        <v>6918</v>
      </c>
      <c r="DI2" s="43" t="s">
        <v>6919</v>
      </c>
      <c r="DJ2" s="43" t="s">
        <v>6762</v>
      </c>
      <c r="DK2" s="43" t="s">
        <v>6763</v>
      </c>
      <c r="DL2" s="43" t="s">
        <v>6764</v>
      </c>
      <c r="DM2" s="43" t="s">
        <v>6765</v>
      </c>
      <c r="DN2" s="43" t="s">
        <v>6920</v>
      </c>
      <c r="DO2" s="43" t="s">
        <v>6921</v>
      </c>
      <c r="DP2" s="43" t="s">
        <v>6741</v>
      </c>
      <c r="DQ2" s="43" t="s">
        <v>6766</v>
      </c>
      <c r="DR2" s="43" t="s">
        <v>6922</v>
      </c>
      <c r="DS2" s="43" t="s">
        <v>6923</v>
      </c>
      <c r="DT2" s="43" t="s">
        <v>6742</v>
      </c>
      <c r="DU2" s="43" t="s">
        <v>6924</v>
      </c>
      <c r="DV2" s="43" t="s">
        <v>6767</v>
      </c>
      <c r="DW2" s="43" t="s">
        <v>6768</v>
      </c>
      <c r="DX2" s="43" t="s">
        <v>6769</v>
      </c>
      <c r="DY2" s="43" t="s">
        <v>6925</v>
      </c>
      <c r="DZ2" s="43" t="s">
        <v>6770</v>
      </c>
      <c r="EA2" s="43" t="s">
        <v>6926</v>
      </c>
      <c r="EB2" s="43" t="s">
        <v>6927</v>
      </c>
      <c r="EC2" s="43" t="s">
        <v>6928</v>
      </c>
      <c r="ED2" s="43" t="s">
        <v>6929</v>
      </c>
      <c r="EE2" s="43" t="s">
        <v>6930</v>
      </c>
      <c r="EF2" s="43" t="s">
        <v>6931</v>
      </c>
      <c r="EG2" s="43" t="s">
        <v>6932</v>
      </c>
      <c r="EH2" s="43" t="s">
        <v>6933</v>
      </c>
      <c r="EI2" s="43" t="s">
        <v>6934</v>
      </c>
      <c r="EJ2" s="43" t="s">
        <v>6935</v>
      </c>
      <c r="EK2" s="43" t="s">
        <v>6936</v>
      </c>
      <c r="EL2" s="43" t="s">
        <v>6937</v>
      </c>
      <c r="EM2" s="43" t="s">
        <v>6938</v>
      </c>
      <c r="EN2" s="43" t="s">
        <v>6771</v>
      </c>
      <c r="EO2" s="43" t="s">
        <v>6939</v>
      </c>
      <c r="EP2" s="43" t="s">
        <v>6940</v>
      </c>
      <c r="EQ2" s="43" t="s">
        <v>6941</v>
      </c>
      <c r="ER2" s="43" t="s">
        <v>6942</v>
      </c>
      <c r="ES2" s="43" t="s">
        <v>6943</v>
      </c>
      <c r="ET2" s="43" t="s">
        <v>6944</v>
      </c>
      <c r="EU2" s="43" t="s">
        <v>6945</v>
      </c>
      <c r="EV2" s="43" t="s">
        <v>6946</v>
      </c>
      <c r="EW2" s="43" t="s">
        <v>6947</v>
      </c>
      <c r="EX2" s="43" t="s">
        <v>6948</v>
      </c>
      <c r="EY2" s="43" t="s">
        <v>6949</v>
      </c>
      <c r="EZ2" s="43" t="s">
        <v>6950</v>
      </c>
      <c r="FA2" s="43" t="s">
        <v>6951</v>
      </c>
      <c r="FB2" s="43" t="s">
        <v>6952</v>
      </c>
      <c r="FC2" s="43" t="s">
        <v>6953</v>
      </c>
      <c r="FD2" s="43" t="s">
        <v>6954</v>
      </c>
      <c r="FE2" s="43" t="s">
        <v>6955</v>
      </c>
      <c r="FF2" s="43" t="s">
        <v>6956</v>
      </c>
      <c r="FG2" s="43" t="s">
        <v>6957</v>
      </c>
      <c r="FH2" s="43" t="s">
        <v>6958</v>
      </c>
      <c r="FI2" s="43" t="s">
        <v>6959</v>
      </c>
      <c r="FJ2" s="43" t="s">
        <v>6960</v>
      </c>
      <c r="FK2" s="43" t="s">
        <v>6743</v>
      </c>
      <c r="FL2" s="43" t="s">
        <v>6961</v>
      </c>
      <c r="FM2" s="43" t="s">
        <v>6962</v>
      </c>
      <c r="FN2" s="43" t="s">
        <v>6963</v>
      </c>
      <c r="FO2" s="43" t="s">
        <v>6772</v>
      </c>
      <c r="FP2" s="43" t="s">
        <v>6773</v>
      </c>
      <c r="FQ2" s="43" t="s">
        <v>6964</v>
      </c>
      <c r="FR2" s="43" t="s">
        <v>6774</v>
      </c>
      <c r="FS2" s="43" t="s">
        <v>6965</v>
      </c>
      <c r="FT2" s="43" t="s">
        <v>6966</v>
      </c>
      <c r="FU2" s="43" t="s">
        <v>6967</v>
      </c>
      <c r="FV2" s="43" t="s">
        <v>6968</v>
      </c>
      <c r="FW2" s="43" t="s">
        <v>6969</v>
      </c>
      <c r="FX2" s="43" t="s">
        <v>6970</v>
      </c>
      <c r="FY2" s="43" t="s">
        <v>6971</v>
      </c>
      <c r="FZ2" s="43" t="s">
        <v>6744</v>
      </c>
      <c r="GA2" s="43" t="s">
        <v>6972</v>
      </c>
      <c r="GB2" s="43" t="s">
        <v>6776</v>
      </c>
      <c r="GC2" s="43" t="s">
        <v>6973</v>
      </c>
      <c r="GD2" s="43" t="s">
        <v>6974</v>
      </c>
      <c r="GE2" s="43" t="s">
        <v>6975</v>
      </c>
      <c r="GF2" s="43" t="s">
        <v>6976</v>
      </c>
      <c r="GG2" s="43" t="s">
        <v>6977</v>
      </c>
      <c r="GH2" s="43" t="s">
        <v>6978</v>
      </c>
      <c r="GI2" s="43" t="s">
        <v>6745</v>
      </c>
      <c r="GJ2" s="43" t="s">
        <v>6979</v>
      </c>
      <c r="GK2" s="43" t="s">
        <v>6980</v>
      </c>
      <c r="GL2" s="43" t="s">
        <v>6981</v>
      </c>
      <c r="GM2" s="43" t="s">
        <v>6982</v>
      </c>
      <c r="GN2" s="43" t="s">
        <v>6983</v>
      </c>
      <c r="GO2" s="43" t="s">
        <v>6984</v>
      </c>
      <c r="GP2" s="43" t="s">
        <v>6985</v>
      </c>
      <c r="GQ2" s="43" t="s">
        <v>6986</v>
      </c>
      <c r="GR2" s="43" t="s">
        <v>6987</v>
      </c>
      <c r="GS2" s="43" t="s">
        <v>6988</v>
      </c>
      <c r="GT2" s="43" t="s">
        <v>6989</v>
      </c>
      <c r="GU2" s="43" t="s">
        <v>6990</v>
      </c>
      <c r="GV2" s="43" t="s">
        <v>6991</v>
      </c>
      <c r="GW2" s="43" t="s">
        <v>6992</v>
      </c>
      <c r="GX2" s="43" t="s">
        <v>6993</v>
      </c>
      <c r="GY2" s="43" t="s">
        <v>6994</v>
      </c>
      <c r="GZ2" s="43" t="s">
        <v>6995</v>
      </c>
      <c r="HA2" s="43" t="s">
        <v>6996</v>
      </c>
      <c r="HB2" s="43" t="s">
        <v>6997</v>
      </c>
      <c r="HC2" s="43" t="s">
        <v>6998</v>
      </c>
      <c r="HD2" s="43" t="s">
        <v>6999</v>
      </c>
      <c r="HE2" s="48" t="s">
        <v>7000</v>
      </c>
      <c r="HF2" s="43" t="s">
        <v>7001</v>
      </c>
      <c r="HG2" s="43" t="s">
        <v>7002</v>
      </c>
      <c r="HH2" s="43" t="s">
        <v>6796</v>
      </c>
      <c r="HI2" s="48" t="s">
        <v>7003</v>
      </c>
      <c r="HJ2" s="43" t="s">
        <v>7004</v>
      </c>
      <c r="HK2" s="43" t="s">
        <v>7005</v>
      </c>
      <c r="HL2" s="43" t="s">
        <v>7006</v>
      </c>
      <c r="HM2" s="43" t="s">
        <v>6778</v>
      </c>
      <c r="HN2" s="43" t="s">
        <v>6779</v>
      </c>
      <c r="HO2" s="43" t="s">
        <v>6780</v>
      </c>
      <c r="HP2" s="43" t="s">
        <v>6797</v>
      </c>
      <c r="HQ2" s="43" t="s">
        <v>6781</v>
      </c>
      <c r="HR2" s="43" t="s">
        <v>7007</v>
      </c>
      <c r="HS2" s="43" t="s">
        <v>7008</v>
      </c>
      <c r="HT2" s="43" t="s">
        <v>6782</v>
      </c>
      <c r="HU2" s="43" t="s">
        <v>6783</v>
      </c>
      <c r="HV2" s="43" t="s">
        <v>6784</v>
      </c>
      <c r="HW2" s="43" t="s">
        <v>6785</v>
      </c>
      <c r="HX2" s="43" t="s">
        <v>6786</v>
      </c>
      <c r="HY2" s="43" t="s">
        <v>6787</v>
      </c>
      <c r="HZ2" s="43" t="s">
        <v>6788</v>
      </c>
      <c r="IA2" s="43" t="s">
        <v>7009</v>
      </c>
      <c r="IB2" s="43" t="s">
        <v>6789</v>
      </c>
      <c r="IC2" s="43" t="s">
        <v>6790</v>
      </c>
      <c r="ID2" s="43" t="s">
        <v>6791</v>
      </c>
      <c r="IE2" s="43" t="s">
        <v>7010</v>
      </c>
      <c r="IF2" s="43" t="s">
        <v>6792</v>
      </c>
      <c r="IG2" s="43" t="s">
        <v>6793</v>
      </c>
      <c r="IH2" s="43" t="s">
        <v>6794</v>
      </c>
      <c r="II2" s="43" t="s">
        <v>6795</v>
      </c>
      <c r="IJ2" s="43" t="s">
        <v>7011</v>
      </c>
      <c r="IK2" s="43" t="s">
        <v>7012</v>
      </c>
      <c r="IL2" s="43" t="s">
        <v>7013</v>
      </c>
      <c r="IM2" s="43" t="s">
        <v>7014</v>
      </c>
      <c r="IN2" s="43" t="s">
        <v>7015</v>
      </c>
      <c r="IO2" s="43" t="s">
        <v>7016</v>
      </c>
    </row>
    <row r="3" spans="1:249" s="61" customFormat="1" ht="58.5" hidden="1" customHeight="1" x14ac:dyDescent="0.2">
      <c r="O3" s="61" t="str">
        <f t="shared" ref="O3:S3" si="0">IF(COUNTA(O4:O65536)=0,"","07")</f>
        <v/>
      </c>
      <c r="P3" s="61" t="str">
        <f t="shared" si="0"/>
        <v/>
      </c>
      <c r="Q3" s="61" t="str">
        <f t="shared" si="0"/>
        <v/>
      </c>
      <c r="R3" s="61" t="str">
        <f t="shared" si="0"/>
        <v/>
      </c>
      <c r="S3" s="61" t="str">
        <f t="shared" si="0"/>
        <v/>
      </c>
      <c r="T3" s="61" t="str">
        <f>IF(COUNTA(T4:T65536)=0,"","07")</f>
        <v>07</v>
      </c>
      <c r="U3" s="61" t="str">
        <f t="shared" ref="U3:CF3" si="1">IF(COUNTA(U4:U65536)=0,"","07")</f>
        <v/>
      </c>
      <c r="V3" s="61" t="str">
        <f t="shared" si="1"/>
        <v/>
      </c>
      <c r="W3" s="61" t="str">
        <f t="shared" si="1"/>
        <v/>
      </c>
      <c r="X3" s="61" t="str">
        <f t="shared" si="1"/>
        <v/>
      </c>
      <c r="Y3" s="61" t="str">
        <f t="shared" si="1"/>
        <v/>
      </c>
      <c r="Z3" s="61" t="str">
        <f t="shared" si="1"/>
        <v/>
      </c>
      <c r="AA3" s="61" t="str">
        <f t="shared" si="1"/>
        <v/>
      </c>
      <c r="AB3" s="61" t="str">
        <f t="shared" si="1"/>
        <v/>
      </c>
      <c r="AC3" s="61" t="str">
        <f t="shared" si="1"/>
        <v/>
      </c>
      <c r="AD3" s="61" t="str">
        <f t="shared" si="1"/>
        <v/>
      </c>
      <c r="AE3" s="61" t="str">
        <f t="shared" si="1"/>
        <v/>
      </c>
      <c r="AF3" s="61" t="str">
        <f t="shared" si="1"/>
        <v/>
      </c>
      <c r="AG3" s="61" t="str">
        <f t="shared" si="1"/>
        <v/>
      </c>
      <c r="AH3" s="61" t="str">
        <f t="shared" si="1"/>
        <v/>
      </c>
      <c r="AI3" s="61" t="str">
        <f t="shared" si="1"/>
        <v/>
      </c>
      <c r="AJ3" s="61" t="str">
        <f t="shared" si="1"/>
        <v/>
      </c>
      <c r="AK3" s="61" t="str">
        <f t="shared" si="1"/>
        <v/>
      </c>
      <c r="AL3" s="61" t="str">
        <f t="shared" si="1"/>
        <v/>
      </c>
      <c r="AM3" s="61" t="str">
        <f t="shared" si="1"/>
        <v/>
      </c>
      <c r="AN3" s="61" t="str">
        <f t="shared" si="1"/>
        <v/>
      </c>
      <c r="AO3" s="61" t="str">
        <f t="shared" si="1"/>
        <v/>
      </c>
      <c r="AP3" s="61" t="str">
        <f t="shared" si="1"/>
        <v/>
      </c>
      <c r="AQ3" s="61" t="str">
        <f t="shared" si="1"/>
        <v>07</v>
      </c>
      <c r="AR3" s="61" t="str">
        <f t="shared" si="1"/>
        <v/>
      </c>
      <c r="AS3" s="61" t="str">
        <f t="shared" si="1"/>
        <v/>
      </c>
      <c r="AT3" s="61" t="str">
        <f t="shared" si="1"/>
        <v/>
      </c>
      <c r="AU3" s="61" t="str">
        <f t="shared" si="1"/>
        <v>07</v>
      </c>
      <c r="AV3" s="61" t="str">
        <f t="shared" si="1"/>
        <v/>
      </c>
      <c r="AW3" s="61" t="str">
        <f t="shared" si="1"/>
        <v/>
      </c>
      <c r="AX3" s="61" t="str">
        <f t="shared" si="1"/>
        <v/>
      </c>
      <c r="AY3" s="61" t="str">
        <f t="shared" si="1"/>
        <v>07</v>
      </c>
      <c r="AZ3" s="61" t="str">
        <f t="shared" si="1"/>
        <v>07</v>
      </c>
      <c r="BA3" s="61" t="str">
        <f t="shared" si="1"/>
        <v>07</v>
      </c>
      <c r="BB3" s="61" t="str">
        <f t="shared" si="1"/>
        <v/>
      </c>
      <c r="BC3" s="61" t="str">
        <f t="shared" si="1"/>
        <v>07</v>
      </c>
      <c r="BD3" s="61" t="str">
        <f t="shared" si="1"/>
        <v/>
      </c>
      <c r="BE3" s="61" t="str">
        <f t="shared" si="1"/>
        <v>07</v>
      </c>
      <c r="BF3" s="61" t="str">
        <f t="shared" si="1"/>
        <v/>
      </c>
      <c r="BG3" s="61" t="str">
        <f t="shared" si="1"/>
        <v/>
      </c>
      <c r="BH3" s="61" t="str">
        <f t="shared" si="1"/>
        <v/>
      </c>
      <c r="BI3" s="61" t="str">
        <f t="shared" si="1"/>
        <v>07</v>
      </c>
      <c r="BJ3" s="61" t="str">
        <f t="shared" si="1"/>
        <v/>
      </c>
      <c r="BK3" s="61" t="str">
        <f t="shared" si="1"/>
        <v/>
      </c>
      <c r="BL3" s="61" t="str">
        <f t="shared" si="1"/>
        <v/>
      </c>
      <c r="BM3" s="61" t="str">
        <f t="shared" si="1"/>
        <v/>
      </c>
      <c r="BN3" s="61" t="str">
        <f t="shared" si="1"/>
        <v/>
      </c>
      <c r="BO3" s="61" t="str">
        <f t="shared" si="1"/>
        <v/>
      </c>
      <c r="BP3" s="61" t="str">
        <f t="shared" si="1"/>
        <v/>
      </c>
      <c r="BQ3" s="61" t="str">
        <f t="shared" si="1"/>
        <v/>
      </c>
      <c r="BR3" s="61" t="str">
        <f t="shared" si="1"/>
        <v/>
      </c>
      <c r="BS3" s="61" t="str">
        <f t="shared" si="1"/>
        <v/>
      </c>
      <c r="BT3" s="61" t="str">
        <f t="shared" si="1"/>
        <v/>
      </c>
      <c r="BU3" s="61" t="str">
        <f t="shared" si="1"/>
        <v/>
      </c>
      <c r="BV3" s="61" t="str">
        <f t="shared" si="1"/>
        <v/>
      </c>
      <c r="BW3" s="61" t="str">
        <f t="shared" si="1"/>
        <v/>
      </c>
      <c r="BX3" s="61" t="str">
        <f t="shared" si="1"/>
        <v/>
      </c>
      <c r="BY3" s="61" t="str">
        <f t="shared" si="1"/>
        <v/>
      </c>
      <c r="BZ3" s="61" t="str">
        <f t="shared" si="1"/>
        <v/>
      </c>
      <c r="CA3" s="61" t="str">
        <f t="shared" si="1"/>
        <v/>
      </c>
      <c r="CB3" s="61" t="str">
        <f t="shared" si="1"/>
        <v/>
      </c>
      <c r="CC3" s="61" t="str">
        <f t="shared" si="1"/>
        <v/>
      </c>
      <c r="CD3" s="61" t="str">
        <f t="shared" si="1"/>
        <v/>
      </c>
      <c r="CE3" s="61" t="str">
        <f t="shared" si="1"/>
        <v/>
      </c>
      <c r="CF3" s="61" t="str">
        <f t="shared" si="1"/>
        <v/>
      </c>
      <c r="CG3" s="61" t="str">
        <f t="shared" ref="CG3:ER3" si="2">IF(COUNTA(CG4:CG65536)=0,"","07")</f>
        <v/>
      </c>
      <c r="CH3" s="61" t="str">
        <f t="shared" si="2"/>
        <v/>
      </c>
      <c r="CI3" s="61" t="str">
        <f t="shared" si="2"/>
        <v/>
      </c>
      <c r="CJ3" s="61" t="str">
        <f t="shared" si="2"/>
        <v/>
      </c>
      <c r="CK3" s="61" t="str">
        <f t="shared" si="2"/>
        <v/>
      </c>
      <c r="CL3" s="61" t="str">
        <f t="shared" si="2"/>
        <v/>
      </c>
      <c r="CM3" s="61" t="str">
        <f t="shared" si="2"/>
        <v/>
      </c>
      <c r="CN3" s="61" t="str">
        <f t="shared" si="2"/>
        <v/>
      </c>
      <c r="CO3" s="61" t="str">
        <f t="shared" si="2"/>
        <v/>
      </c>
      <c r="CP3" s="61" t="str">
        <f t="shared" si="2"/>
        <v/>
      </c>
      <c r="CQ3" s="61" t="str">
        <f t="shared" si="2"/>
        <v/>
      </c>
      <c r="CR3" s="61" t="str">
        <f t="shared" si="2"/>
        <v/>
      </c>
      <c r="CS3" s="61" t="str">
        <f t="shared" si="2"/>
        <v/>
      </c>
      <c r="CT3" s="61" t="str">
        <f t="shared" si="2"/>
        <v/>
      </c>
      <c r="CU3" s="61" t="str">
        <f t="shared" si="2"/>
        <v/>
      </c>
      <c r="CV3" s="61" t="str">
        <f t="shared" si="2"/>
        <v/>
      </c>
      <c r="CW3" s="61" t="str">
        <f t="shared" si="2"/>
        <v/>
      </c>
      <c r="CX3" s="61" t="str">
        <f t="shared" si="2"/>
        <v/>
      </c>
      <c r="CY3" s="61" t="str">
        <f t="shared" si="2"/>
        <v/>
      </c>
      <c r="CZ3" s="61" t="str">
        <f t="shared" si="2"/>
        <v/>
      </c>
      <c r="DA3" s="61" t="str">
        <f t="shared" si="2"/>
        <v/>
      </c>
      <c r="DB3" s="61" t="str">
        <f t="shared" si="2"/>
        <v/>
      </c>
      <c r="DC3" s="61" t="str">
        <f t="shared" si="2"/>
        <v/>
      </c>
      <c r="DD3" s="61" t="str">
        <f t="shared" si="2"/>
        <v/>
      </c>
      <c r="DE3" s="61" t="str">
        <f t="shared" si="2"/>
        <v/>
      </c>
      <c r="DF3" s="61" t="str">
        <f t="shared" si="2"/>
        <v/>
      </c>
      <c r="DG3" s="61" t="str">
        <f t="shared" si="2"/>
        <v/>
      </c>
      <c r="DH3" s="61" t="str">
        <f t="shared" si="2"/>
        <v/>
      </c>
      <c r="DI3" s="61" t="str">
        <f t="shared" si="2"/>
        <v/>
      </c>
      <c r="DJ3" s="61" t="str">
        <f t="shared" si="2"/>
        <v/>
      </c>
      <c r="DK3" s="61" t="str">
        <f t="shared" si="2"/>
        <v/>
      </c>
      <c r="DL3" s="61" t="str">
        <f t="shared" si="2"/>
        <v/>
      </c>
      <c r="DM3" s="61" t="str">
        <f t="shared" si="2"/>
        <v/>
      </c>
      <c r="DN3" s="61" t="str">
        <f t="shared" si="2"/>
        <v/>
      </c>
      <c r="DO3" s="61" t="str">
        <f t="shared" si="2"/>
        <v/>
      </c>
      <c r="DP3" s="61" t="str">
        <f t="shared" si="2"/>
        <v/>
      </c>
      <c r="DQ3" s="61" t="str">
        <f t="shared" si="2"/>
        <v/>
      </c>
      <c r="DR3" s="61" t="str">
        <f t="shared" si="2"/>
        <v/>
      </c>
      <c r="DS3" s="61" t="str">
        <f t="shared" si="2"/>
        <v/>
      </c>
      <c r="DT3" s="61" t="str">
        <f t="shared" si="2"/>
        <v/>
      </c>
      <c r="DU3" s="61" t="str">
        <f t="shared" si="2"/>
        <v/>
      </c>
      <c r="DV3" s="61" t="str">
        <f t="shared" si="2"/>
        <v/>
      </c>
      <c r="DW3" s="61" t="str">
        <f t="shared" si="2"/>
        <v/>
      </c>
      <c r="DX3" s="61" t="str">
        <f t="shared" si="2"/>
        <v/>
      </c>
      <c r="DY3" s="61" t="str">
        <f t="shared" si="2"/>
        <v/>
      </c>
      <c r="DZ3" s="61" t="str">
        <f t="shared" si="2"/>
        <v/>
      </c>
      <c r="EA3" s="61" t="str">
        <f t="shared" si="2"/>
        <v/>
      </c>
      <c r="EB3" s="61" t="str">
        <f t="shared" si="2"/>
        <v/>
      </c>
      <c r="EC3" s="61" t="str">
        <f t="shared" si="2"/>
        <v/>
      </c>
      <c r="ED3" s="61" t="str">
        <f t="shared" si="2"/>
        <v/>
      </c>
      <c r="EE3" s="61" t="str">
        <f t="shared" si="2"/>
        <v/>
      </c>
      <c r="EF3" s="61" t="str">
        <f t="shared" si="2"/>
        <v/>
      </c>
      <c r="EG3" s="61" t="str">
        <f t="shared" si="2"/>
        <v/>
      </c>
      <c r="EH3" s="61" t="str">
        <f t="shared" si="2"/>
        <v/>
      </c>
      <c r="EI3" s="61" t="str">
        <f t="shared" si="2"/>
        <v/>
      </c>
      <c r="EJ3" s="61" t="str">
        <f t="shared" si="2"/>
        <v/>
      </c>
      <c r="EK3" s="61" t="str">
        <f t="shared" si="2"/>
        <v/>
      </c>
      <c r="EL3" s="61" t="str">
        <f t="shared" si="2"/>
        <v/>
      </c>
      <c r="EM3" s="61" t="str">
        <f t="shared" si="2"/>
        <v/>
      </c>
      <c r="EN3" s="61" t="str">
        <f t="shared" si="2"/>
        <v/>
      </c>
      <c r="EO3" s="61" t="str">
        <f t="shared" si="2"/>
        <v/>
      </c>
      <c r="EP3" s="61" t="str">
        <f t="shared" si="2"/>
        <v/>
      </c>
      <c r="EQ3" s="61" t="str">
        <f t="shared" si="2"/>
        <v/>
      </c>
      <c r="ER3" s="61" t="str">
        <f t="shared" si="2"/>
        <v/>
      </c>
      <c r="ES3" s="61" t="str">
        <f t="shared" ref="ES3:HD3" si="3">IF(COUNTA(ES4:ES65536)=0,"","07")</f>
        <v/>
      </c>
      <c r="ET3" s="61" t="str">
        <f t="shared" si="3"/>
        <v/>
      </c>
      <c r="EU3" s="61" t="str">
        <f t="shared" si="3"/>
        <v/>
      </c>
      <c r="EV3" s="61" t="str">
        <f t="shared" si="3"/>
        <v/>
      </c>
      <c r="EW3" s="61" t="str">
        <f t="shared" si="3"/>
        <v/>
      </c>
      <c r="EX3" s="61" t="str">
        <f t="shared" si="3"/>
        <v/>
      </c>
      <c r="EY3" s="61" t="str">
        <f t="shared" si="3"/>
        <v/>
      </c>
      <c r="EZ3" s="61" t="str">
        <f t="shared" si="3"/>
        <v/>
      </c>
      <c r="FA3" s="61" t="str">
        <f t="shared" si="3"/>
        <v/>
      </c>
      <c r="FB3" s="61" t="str">
        <f t="shared" si="3"/>
        <v/>
      </c>
      <c r="FC3" s="61" t="str">
        <f t="shared" si="3"/>
        <v/>
      </c>
      <c r="FD3" s="61" t="str">
        <f t="shared" si="3"/>
        <v/>
      </c>
      <c r="FE3" s="61" t="str">
        <f t="shared" si="3"/>
        <v/>
      </c>
      <c r="FF3" s="61" t="str">
        <f t="shared" si="3"/>
        <v/>
      </c>
      <c r="FG3" s="61" t="str">
        <f t="shared" si="3"/>
        <v/>
      </c>
      <c r="FH3" s="61" t="str">
        <f t="shared" si="3"/>
        <v/>
      </c>
      <c r="FI3" s="61" t="str">
        <f t="shared" si="3"/>
        <v/>
      </c>
      <c r="FJ3" s="61" t="str">
        <f t="shared" si="3"/>
        <v/>
      </c>
      <c r="FK3" s="61" t="str">
        <f t="shared" si="3"/>
        <v/>
      </c>
      <c r="FL3" s="61" t="str">
        <f t="shared" si="3"/>
        <v/>
      </c>
      <c r="FM3" s="61" t="str">
        <f t="shared" si="3"/>
        <v/>
      </c>
      <c r="FN3" s="61" t="str">
        <f t="shared" si="3"/>
        <v/>
      </c>
      <c r="FO3" s="61" t="str">
        <f t="shared" si="3"/>
        <v/>
      </c>
      <c r="FP3" s="61" t="str">
        <f t="shared" si="3"/>
        <v/>
      </c>
      <c r="FQ3" s="61" t="str">
        <f t="shared" si="3"/>
        <v/>
      </c>
      <c r="FR3" s="61" t="str">
        <f t="shared" si="3"/>
        <v/>
      </c>
      <c r="FS3" s="61" t="str">
        <f t="shared" si="3"/>
        <v/>
      </c>
      <c r="FT3" s="61" t="str">
        <f t="shared" si="3"/>
        <v/>
      </c>
      <c r="FU3" s="61" t="str">
        <f t="shared" si="3"/>
        <v/>
      </c>
      <c r="FV3" s="61" t="str">
        <f t="shared" si="3"/>
        <v/>
      </c>
      <c r="FW3" s="61" t="str">
        <f t="shared" si="3"/>
        <v/>
      </c>
      <c r="FX3" s="61" t="str">
        <f t="shared" si="3"/>
        <v/>
      </c>
      <c r="FY3" s="61" t="str">
        <f t="shared" si="3"/>
        <v/>
      </c>
      <c r="FZ3" s="61" t="str">
        <f t="shared" si="3"/>
        <v/>
      </c>
      <c r="GA3" s="61" t="str">
        <f t="shared" si="3"/>
        <v/>
      </c>
      <c r="GB3" s="61" t="str">
        <f t="shared" si="3"/>
        <v/>
      </c>
      <c r="GC3" s="61" t="str">
        <f t="shared" si="3"/>
        <v/>
      </c>
      <c r="GD3" s="61" t="str">
        <f t="shared" si="3"/>
        <v/>
      </c>
      <c r="GE3" s="61" t="str">
        <f t="shared" si="3"/>
        <v/>
      </c>
      <c r="GF3" s="61" t="str">
        <f t="shared" si="3"/>
        <v/>
      </c>
      <c r="GG3" s="61" t="str">
        <f t="shared" si="3"/>
        <v/>
      </c>
      <c r="GH3" s="61" t="str">
        <f t="shared" si="3"/>
        <v/>
      </c>
      <c r="GI3" s="61" t="str">
        <f t="shared" si="3"/>
        <v/>
      </c>
      <c r="GJ3" s="61" t="str">
        <f t="shared" si="3"/>
        <v/>
      </c>
      <c r="GK3" s="61" t="str">
        <f t="shared" si="3"/>
        <v/>
      </c>
      <c r="GL3" s="61" t="str">
        <f t="shared" si="3"/>
        <v/>
      </c>
      <c r="GM3" s="61" t="str">
        <f t="shared" si="3"/>
        <v/>
      </c>
      <c r="GN3" s="61" t="str">
        <f t="shared" si="3"/>
        <v/>
      </c>
      <c r="GO3" s="61" t="str">
        <f t="shared" si="3"/>
        <v/>
      </c>
      <c r="GP3" s="61" t="str">
        <f t="shared" si="3"/>
        <v/>
      </c>
      <c r="GQ3" s="61" t="str">
        <f t="shared" si="3"/>
        <v/>
      </c>
      <c r="GR3" s="61" t="str">
        <f t="shared" si="3"/>
        <v/>
      </c>
      <c r="GS3" s="61" t="str">
        <f t="shared" si="3"/>
        <v/>
      </c>
      <c r="GT3" s="61" t="str">
        <f t="shared" si="3"/>
        <v/>
      </c>
      <c r="GU3" s="61" t="str">
        <f t="shared" si="3"/>
        <v/>
      </c>
      <c r="GV3" s="61" t="str">
        <f t="shared" si="3"/>
        <v/>
      </c>
      <c r="GW3" s="61" t="str">
        <f t="shared" si="3"/>
        <v/>
      </c>
      <c r="GX3" s="61" t="str">
        <f t="shared" si="3"/>
        <v/>
      </c>
      <c r="GY3" s="61" t="str">
        <f t="shared" si="3"/>
        <v/>
      </c>
      <c r="GZ3" s="61" t="str">
        <f t="shared" si="3"/>
        <v/>
      </c>
      <c r="HA3" s="61" t="str">
        <f t="shared" si="3"/>
        <v/>
      </c>
      <c r="HB3" s="61" t="str">
        <f t="shared" si="3"/>
        <v/>
      </c>
      <c r="HC3" s="61" t="str">
        <f t="shared" si="3"/>
        <v/>
      </c>
      <c r="HD3" s="61" t="str">
        <f t="shared" si="3"/>
        <v/>
      </c>
      <c r="HE3" s="61" t="str">
        <f t="shared" ref="HE3:HW3" si="4">IF(COUNTA(HE4:HE65536)=0,"","07")</f>
        <v/>
      </c>
      <c r="HF3" s="61" t="str">
        <f t="shared" si="4"/>
        <v/>
      </c>
      <c r="HG3" s="61" t="str">
        <f t="shared" si="4"/>
        <v/>
      </c>
      <c r="HH3" s="61" t="str">
        <f t="shared" si="4"/>
        <v/>
      </c>
      <c r="HI3" s="61" t="str">
        <f t="shared" si="4"/>
        <v/>
      </c>
      <c r="HJ3" s="61" t="str">
        <f t="shared" si="4"/>
        <v/>
      </c>
      <c r="HK3" s="61" t="str">
        <f t="shared" si="4"/>
        <v/>
      </c>
      <c r="HL3" s="61" t="str">
        <f t="shared" si="4"/>
        <v/>
      </c>
      <c r="HM3" s="61" t="str">
        <f t="shared" si="4"/>
        <v/>
      </c>
      <c r="HN3" s="61" t="str">
        <f t="shared" si="4"/>
        <v/>
      </c>
      <c r="HO3" s="61" t="str">
        <f t="shared" si="4"/>
        <v/>
      </c>
      <c r="HP3" s="61" t="str">
        <f t="shared" si="4"/>
        <v/>
      </c>
      <c r="HQ3" s="61" t="str">
        <f t="shared" si="4"/>
        <v/>
      </c>
      <c r="HR3" s="61" t="str">
        <f t="shared" si="4"/>
        <v/>
      </c>
      <c r="HS3" s="61" t="str">
        <f t="shared" si="4"/>
        <v/>
      </c>
      <c r="HT3" s="61" t="str">
        <f t="shared" si="4"/>
        <v/>
      </c>
      <c r="HU3" s="61" t="str">
        <f t="shared" si="4"/>
        <v/>
      </c>
      <c r="HV3" s="61" t="str">
        <f t="shared" si="4"/>
        <v/>
      </c>
      <c r="HW3" s="61" t="str">
        <f t="shared" si="4"/>
        <v/>
      </c>
      <c r="HX3" s="61" t="str">
        <f t="shared" ref="HX3:IG3" si="5">IF(COUNTA(HX4:HX65536)=0,"","07")</f>
        <v/>
      </c>
      <c r="HY3" s="61" t="str">
        <f t="shared" si="5"/>
        <v/>
      </c>
      <c r="HZ3" s="61" t="str">
        <f t="shared" si="5"/>
        <v/>
      </c>
      <c r="IA3" s="61" t="str">
        <f t="shared" si="5"/>
        <v/>
      </c>
      <c r="IB3" s="61" t="str">
        <f t="shared" si="5"/>
        <v/>
      </c>
      <c r="IC3" s="61" t="str">
        <f t="shared" si="5"/>
        <v/>
      </c>
      <c r="ID3" s="61" t="str">
        <f t="shared" si="5"/>
        <v/>
      </c>
      <c r="IE3" s="61" t="str">
        <f t="shared" si="5"/>
        <v/>
      </c>
      <c r="IF3" s="61" t="str">
        <f t="shared" si="5"/>
        <v/>
      </c>
      <c r="IG3" s="61" t="str">
        <f t="shared" si="5"/>
        <v/>
      </c>
      <c r="IH3" s="61" t="str">
        <f t="shared" ref="IH3:IO3" si="6">IF(COUNTA(IH4:IH65536)=0,"","07")</f>
        <v/>
      </c>
      <c r="II3" s="61" t="str">
        <f t="shared" si="6"/>
        <v/>
      </c>
      <c r="IJ3" s="61" t="str">
        <f t="shared" si="6"/>
        <v/>
      </c>
      <c r="IK3" s="61" t="str">
        <f t="shared" si="6"/>
        <v/>
      </c>
      <c r="IL3" s="61" t="str">
        <f t="shared" si="6"/>
        <v/>
      </c>
      <c r="IM3" s="61" t="str">
        <f t="shared" si="6"/>
        <v/>
      </c>
      <c r="IN3" s="61" t="str">
        <f t="shared" si="6"/>
        <v/>
      </c>
      <c r="IO3" s="61" t="str">
        <f t="shared" si="6"/>
        <v/>
      </c>
    </row>
    <row r="4" spans="1:249" s="12" customFormat="1" x14ac:dyDescent="0.2">
      <c r="A4" s="11" t="s">
        <v>7596</v>
      </c>
      <c r="B4" s="12" t="s">
        <v>6195</v>
      </c>
      <c r="D4" s="12" t="s">
        <v>6377</v>
      </c>
      <c r="E4" s="12" t="s">
        <v>11</v>
      </c>
      <c r="G4" s="12" t="s">
        <v>6198</v>
      </c>
      <c r="J4" s="12" t="s">
        <v>6805</v>
      </c>
      <c r="K4" s="12">
        <v>1989</v>
      </c>
      <c r="L4" s="14" t="s">
        <v>6200</v>
      </c>
      <c r="M4" s="14" t="s">
        <v>6201</v>
      </c>
      <c r="N4" s="12">
        <v>1.1000000000000001</v>
      </c>
      <c r="T4" s="12">
        <v>50</v>
      </c>
      <c r="AQ4" s="14">
        <v>90</v>
      </c>
      <c r="AR4" s="14"/>
      <c r="AS4" s="14"/>
      <c r="AT4" s="14"/>
      <c r="AU4" s="12">
        <v>3</v>
      </c>
      <c r="AY4" s="12">
        <v>545</v>
      </c>
      <c r="AZ4" s="13">
        <v>62</v>
      </c>
      <c r="BA4" s="12">
        <v>1.46</v>
      </c>
      <c r="BB4" s="13"/>
      <c r="BC4" s="12">
        <v>55</v>
      </c>
      <c r="BE4" s="12">
        <v>424</v>
      </c>
      <c r="BI4" s="12">
        <v>8.4</v>
      </c>
    </row>
    <row r="5" spans="1:249" s="12" customFormat="1" x14ac:dyDescent="0.2">
      <c r="A5" s="11" t="s">
        <v>7597</v>
      </c>
      <c r="B5" s="12" t="s">
        <v>6267</v>
      </c>
      <c r="D5" s="12" t="s">
        <v>6378</v>
      </c>
      <c r="E5" s="12" t="s">
        <v>7</v>
      </c>
      <c r="G5" s="12" t="s">
        <v>6198</v>
      </c>
      <c r="J5" s="12" t="s">
        <v>6805</v>
      </c>
      <c r="K5" s="12">
        <v>1989</v>
      </c>
      <c r="L5" s="14" t="s">
        <v>6200</v>
      </c>
      <c r="M5" s="14" t="s">
        <v>6201</v>
      </c>
      <c r="N5" s="12">
        <v>1.1000000000000001</v>
      </c>
      <c r="T5" s="12">
        <v>64</v>
      </c>
      <c r="AQ5" s="12">
        <v>18</v>
      </c>
      <c r="AU5" s="12">
        <v>2.1</v>
      </c>
      <c r="AY5" s="12">
        <v>304</v>
      </c>
      <c r="AZ5" s="13">
        <v>29</v>
      </c>
      <c r="BA5" s="12">
        <v>0.55000000000000004</v>
      </c>
      <c r="BB5" s="13"/>
      <c r="BC5" s="14">
        <v>13</v>
      </c>
      <c r="BD5" s="14"/>
      <c r="BE5" s="12">
        <v>96</v>
      </c>
      <c r="BI5" s="12">
        <v>4.9000000000000004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O4"/>
  <sheetViews>
    <sheetView workbookViewId="0">
      <pane ySplit="3" topLeftCell="A4" activePane="bottomLeft" state="frozen"/>
      <selection pane="bottomLeft"/>
    </sheetView>
  </sheetViews>
  <sheetFormatPr defaultColWidth="11.42578125" defaultRowHeight="12.75" x14ac:dyDescent="0.2"/>
  <cols>
    <col min="1" max="16384" width="11.42578125" style="1"/>
  </cols>
  <sheetData>
    <row r="1" spans="1:249" s="4" customFormat="1"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6212</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249" ht="58.5" customHeight="1" x14ac:dyDescent="0.2">
      <c r="A2" s="5"/>
      <c r="B2" s="5" t="s">
        <v>152</v>
      </c>
      <c r="C2" s="5"/>
      <c r="D2" s="5"/>
      <c r="E2" s="5" t="s">
        <v>153</v>
      </c>
      <c r="F2" s="5"/>
      <c r="G2" s="5" t="s">
        <v>154</v>
      </c>
      <c r="H2" s="5" t="s">
        <v>155</v>
      </c>
      <c r="I2" s="5" t="s">
        <v>14</v>
      </c>
      <c r="J2" s="5"/>
      <c r="K2" s="5"/>
      <c r="L2" s="5"/>
      <c r="M2" s="5"/>
      <c r="N2" s="5"/>
    </row>
    <row r="3" spans="1:249" s="61" customFormat="1" ht="58.5" hidden="1" customHeight="1" x14ac:dyDescent="0.2">
      <c r="O3" s="61" t="str">
        <f>IF(COUNTA(O4:O65536)=0,"","08")</f>
        <v>08</v>
      </c>
      <c r="P3" s="61" t="str">
        <f t="shared" ref="P3:CA3" si="0">IF(COUNTA(P4:P65536)=0,"","08")</f>
        <v/>
      </c>
      <c r="Q3" s="61" t="str">
        <f t="shared" si="0"/>
        <v/>
      </c>
      <c r="R3" s="61" t="str">
        <f t="shared" si="0"/>
        <v/>
      </c>
      <c r="S3" s="61" t="str">
        <f t="shared" si="0"/>
        <v/>
      </c>
      <c r="T3" s="61" t="str">
        <f t="shared" si="0"/>
        <v/>
      </c>
      <c r="U3" s="61" t="str">
        <f t="shared" si="0"/>
        <v/>
      </c>
      <c r="V3" s="61" t="str">
        <f t="shared" si="0"/>
        <v/>
      </c>
      <c r="W3" s="61" t="str">
        <f t="shared" si="0"/>
        <v/>
      </c>
      <c r="X3" s="61" t="str">
        <f t="shared" si="0"/>
        <v/>
      </c>
      <c r="Y3" s="61" t="str">
        <f t="shared" si="0"/>
        <v/>
      </c>
      <c r="Z3" s="61" t="str">
        <f t="shared" si="0"/>
        <v/>
      </c>
      <c r="AA3" s="61" t="str">
        <f t="shared" si="0"/>
        <v/>
      </c>
      <c r="AB3" s="61" t="str">
        <f t="shared" si="0"/>
        <v>08</v>
      </c>
      <c r="AC3" s="61" t="str">
        <f t="shared" si="0"/>
        <v>08</v>
      </c>
      <c r="AD3" s="61" t="str">
        <f t="shared" si="0"/>
        <v/>
      </c>
      <c r="AE3" s="61" t="str">
        <f t="shared" si="0"/>
        <v>08</v>
      </c>
      <c r="AF3" s="61" t="str">
        <f t="shared" si="0"/>
        <v>08</v>
      </c>
      <c r="AG3" s="61" t="str">
        <f t="shared" si="0"/>
        <v>08</v>
      </c>
      <c r="AH3" s="61" t="str">
        <f t="shared" si="0"/>
        <v>08</v>
      </c>
      <c r="AI3" s="61" t="str">
        <f t="shared" si="0"/>
        <v>08</v>
      </c>
      <c r="AJ3" s="61" t="str">
        <f t="shared" si="0"/>
        <v/>
      </c>
      <c r="AK3" s="61" t="str">
        <f t="shared" si="0"/>
        <v/>
      </c>
      <c r="AL3" s="61" t="str">
        <f t="shared" si="0"/>
        <v/>
      </c>
      <c r="AM3" s="61" t="str">
        <f t="shared" si="0"/>
        <v/>
      </c>
      <c r="AN3" s="61" t="str">
        <f t="shared" si="0"/>
        <v/>
      </c>
      <c r="AO3" s="61" t="str">
        <f t="shared" si="0"/>
        <v/>
      </c>
      <c r="AP3" s="61" t="str">
        <f t="shared" si="0"/>
        <v/>
      </c>
      <c r="AQ3" s="61" t="str">
        <f t="shared" si="0"/>
        <v/>
      </c>
      <c r="AR3" s="61" t="str">
        <f t="shared" si="0"/>
        <v/>
      </c>
      <c r="AS3" s="61" t="str">
        <f t="shared" si="0"/>
        <v/>
      </c>
      <c r="AT3" s="61" t="str">
        <f t="shared" si="0"/>
        <v/>
      </c>
      <c r="AU3" s="61" t="str">
        <f t="shared" si="0"/>
        <v/>
      </c>
      <c r="AV3" s="61" t="str">
        <f t="shared" si="0"/>
        <v/>
      </c>
      <c r="AW3" s="61" t="str">
        <f t="shared" si="0"/>
        <v/>
      </c>
      <c r="AX3" s="61" t="str">
        <f t="shared" si="0"/>
        <v/>
      </c>
      <c r="AY3" s="61" t="str">
        <f t="shared" si="0"/>
        <v/>
      </c>
      <c r="AZ3" s="61" t="str">
        <f t="shared" si="0"/>
        <v/>
      </c>
      <c r="BA3" s="61" t="str">
        <f t="shared" si="0"/>
        <v/>
      </c>
      <c r="BB3" s="61" t="str">
        <f t="shared" si="0"/>
        <v/>
      </c>
      <c r="BC3" s="61" t="str">
        <f t="shared" si="0"/>
        <v/>
      </c>
      <c r="BD3" s="61" t="str">
        <f t="shared" si="0"/>
        <v/>
      </c>
      <c r="BE3" s="61" t="str">
        <f t="shared" si="0"/>
        <v/>
      </c>
      <c r="BF3" s="61" t="str">
        <f t="shared" si="0"/>
        <v/>
      </c>
      <c r="BG3" s="61" t="str">
        <f t="shared" si="0"/>
        <v/>
      </c>
      <c r="BH3" s="61" t="str">
        <f t="shared" si="0"/>
        <v/>
      </c>
      <c r="BI3" s="61" t="str">
        <f t="shared" si="0"/>
        <v/>
      </c>
      <c r="BJ3" s="61" t="str">
        <f t="shared" si="0"/>
        <v/>
      </c>
      <c r="BK3" s="61" t="str">
        <f t="shared" si="0"/>
        <v/>
      </c>
      <c r="BL3" s="61" t="str">
        <f t="shared" si="0"/>
        <v/>
      </c>
      <c r="BM3" s="61" t="str">
        <f t="shared" si="0"/>
        <v/>
      </c>
      <c r="BN3" s="61" t="str">
        <f t="shared" si="0"/>
        <v/>
      </c>
      <c r="BO3" s="61" t="str">
        <f t="shared" si="0"/>
        <v/>
      </c>
      <c r="BP3" s="61" t="str">
        <f t="shared" si="0"/>
        <v/>
      </c>
      <c r="BQ3" s="61" t="str">
        <f t="shared" si="0"/>
        <v/>
      </c>
      <c r="BR3" s="61" t="str">
        <f t="shared" si="0"/>
        <v/>
      </c>
      <c r="BS3" s="61" t="str">
        <f t="shared" si="0"/>
        <v/>
      </c>
      <c r="BT3" s="61" t="str">
        <f t="shared" si="0"/>
        <v/>
      </c>
      <c r="BU3" s="61" t="str">
        <f t="shared" si="0"/>
        <v/>
      </c>
      <c r="BV3" s="61" t="str">
        <f t="shared" si="0"/>
        <v/>
      </c>
      <c r="BW3" s="61" t="str">
        <f t="shared" si="0"/>
        <v/>
      </c>
      <c r="BX3" s="61" t="str">
        <f t="shared" si="0"/>
        <v/>
      </c>
      <c r="BY3" s="61" t="str">
        <f t="shared" si="0"/>
        <v/>
      </c>
      <c r="BZ3" s="61" t="str">
        <f t="shared" si="0"/>
        <v/>
      </c>
      <c r="CA3" s="61" t="str">
        <f t="shared" si="0"/>
        <v/>
      </c>
      <c r="CB3" s="61" t="str">
        <f t="shared" ref="CB3:EM3" si="1">IF(COUNTA(CB4:CB65536)=0,"","08")</f>
        <v/>
      </c>
      <c r="CC3" s="61" t="str">
        <f t="shared" si="1"/>
        <v/>
      </c>
      <c r="CD3" s="61" t="str">
        <f t="shared" si="1"/>
        <v/>
      </c>
      <c r="CE3" s="61" t="str">
        <f t="shared" si="1"/>
        <v/>
      </c>
      <c r="CF3" s="61" t="str">
        <f t="shared" si="1"/>
        <v/>
      </c>
      <c r="CG3" s="61" t="str">
        <f t="shared" si="1"/>
        <v/>
      </c>
      <c r="CH3" s="61" t="str">
        <f t="shared" si="1"/>
        <v/>
      </c>
      <c r="CI3" s="61" t="str">
        <f t="shared" si="1"/>
        <v/>
      </c>
      <c r="CJ3" s="61" t="str">
        <f t="shared" si="1"/>
        <v/>
      </c>
      <c r="CK3" s="61" t="str">
        <f t="shared" si="1"/>
        <v/>
      </c>
      <c r="CL3" s="61" t="str">
        <f t="shared" si="1"/>
        <v/>
      </c>
      <c r="CM3" s="61" t="str">
        <f t="shared" si="1"/>
        <v/>
      </c>
      <c r="CN3" s="61" t="str">
        <f t="shared" si="1"/>
        <v/>
      </c>
      <c r="CO3" s="61" t="str">
        <f t="shared" si="1"/>
        <v/>
      </c>
      <c r="CP3" s="61" t="str">
        <f t="shared" si="1"/>
        <v/>
      </c>
      <c r="CQ3" s="61" t="str">
        <f t="shared" si="1"/>
        <v>08</v>
      </c>
      <c r="CR3" s="61" t="str">
        <f t="shared" si="1"/>
        <v/>
      </c>
      <c r="CS3" s="61" t="str">
        <f t="shared" si="1"/>
        <v/>
      </c>
      <c r="CT3" s="61" t="str">
        <f t="shared" si="1"/>
        <v/>
      </c>
      <c r="CU3" s="61" t="str">
        <f t="shared" si="1"/>
        <v/>
      </c>
      <c r="CV3" s="61" t="str">
        <f t="shared" si="1"/>
        <v/>
      </c>
      <c r="CW3" s="61" t="str">
        <f t="shared" si="1"/>
        <v/>
      </c>
      <c r="CX3" s="61" t="str">
        <f t="shared" si="1"/>
        <v/>
      </c>
      <c r="CY3" s="61" t="str">
        <f t="shared" si="1"/>
        <v/>
      </c>
      <c r="CZ3" s="61" t="str">
        <f t="shared" si="1"/>
        <v/>
      </c>
      <c r="DA3" s="61" t="str">
        <f t="shared" si="1"/>
        <v/>
      </c>
      <c r="DB3" s="61" t="str">
        <f t="shared" si="1"/>
        <v/>
      </c>
      <c r="DC3" s="61" t="str">
        <f t="shared" si="1"/>
        <v/>
      </c>
      <c r="DD3" s="61" t="str">
        <f t="shared" si="1"/>
        <v/>
      </c>
      <c r="DE3" s="61" t="str">
        <f t="shared" si="1"/>
        <v/>
      </c>
      <c r="DF3" s="61" t="str">
        <f t="shared" si="1"/>
        <v/>
      </c>
      <c r="DG3" s="61" t="str">
        <f t="shared" si="1"/>
        <v/>
      </c>
      <c r="DH3" s="61" t="str">
        <f t="shared" si="1"/>
        <v/>
      </c>
      <c r="DI3" s="61" t="str">
        <f t="shared" si="1"/>
        <v/>
      </c>
      <c r="DJ3" s="61" t="str">
        <f t="shared" si="1"/>
        <v/>
      </c>
      <c r="DK3" s="61" t="str">
        <f t="shared" si="1"/>
        <v/>
      </c>
      <c r="DL3" s="61" t="str">
        <f t="shared" si="1"/>
        <v/>
      </c>
      <c r="DM3" s="61" t="str">
        <f t="shared" si="1"/>
        <v/>
      </c>
      <c r="DN3" s="61" t="str">
        <f t="shared" si="1"/>
        <v/>
      </c>
      <c r="DO3" s="61" t="str">
        <f t="shared" si="1"/>
        <v/>
      </c>
      <c r="DP3" s="61" t="str">
        <f t="shared" si="1"/>
        <v/>
      </c>
      <c r="DQ3" s="61" t="str">
        <f t="shared" si="1"/>
        <v/>
      </c>
      <c r="DR3" s="61" t="str">
        <f t="shared" si="1"/>
        <v/>
      </c>
      <c r="DS3" s="61" t="str">
        <f t="shared" si="1"/>
        <v/>
      </c>
      <c r="DT3" s="61" t="str">
        <f t="shared" si="1"/>
        <v/>
      </c>
      <c r="DU3" s="61" t="str">
        <f t="shared" si="1"/>
        <v/>
      </c>
      <c r="DV3" s="61" t="str">
        <f t="shared" si="1"/>
        <v/>
      </c>
      <c r="DW3" s="61" t="str">
        <f t="shared" si="1"/>
        <v/>
      </c>
      <c r="DX3" s="61" t="str">
        <f t="shared" si="1"/>
        <v/>
      </c>
      <c r="DY3" s="61" t="str">
        <f t="shared" si="1"/>
        <v/>
      </c>
      <c r="DZ3" s="61" t="str">
        <f t="shared" si="1"/>
        <v/>
      </c>
      <c r="EA3" s="61" t="str">
        <f t="shared" si="1"/>
        <v/>
      </c>
      <c r="EB3" s="61" t="str">
        <f t="shared" si="1"/>
        <v/>
      </c>
      <c r="EC3" s="61" t="str">
        <f t="shared" si="1"/>
        <v/>
      </c>
      <c r="ED3" s="61" t="str">
        <f t="shared" si="1"/>
        <v/>
      </c>
      <c r="EE3" s="61" t="str">
        <f t="shared" si="1"/>
        <v/>
      </c>
      <c r="EF3" s="61" t="str">
        <f t="shared" si="1"/>
        <v/>
      </c>
      <c r="EG3" s="61" t="str">
        <f t="shared" si="1"/>
        <v/>
      </c>
      <c r="EH3" s="61" t="str">
        <f t="shared" si="1"/>
        <v/>
      </c>
      <c r="EI3" s="61" t="str">
        <f t="shared" si="1"/>
        <v/>
      </c>
      <c r="EJ3" s="61" t="str">
        <f t="shared" si="1"/>
        <v/>
      </c>
      <c r="EK3" s="61" t="str">
        <f t="shared" si="1"/>
        <v/>
      </c>
      <c r="EL3" s="61" t="str">
        <f t="shared" si="1"/>
        <v/>
      </c>
      <c r="EM3" s="61" t="str">
        <f t="shared" si="1"/>
        <v/>
      </c>
      <c r="EN3" s="61" t="str">
        <f t="shared" ref="EN3:GY3" si="2">IF(COUNTA(EN4:EN65536)=0,"","08")</f>
        <v/>
      </c>
      <c r="EO3" s="61" t="str">
        <f t="shared" si="2"/>
        <v/>
      </c>
      <c r="EP3" s="61" t="str">
        <f t="shared" si="2"/>
        <v/>
      </c>
      <c r="EQ3" s="61" t="str">
        <f t="shared" si="2"/>
        <v/>
      </c>
      <c r="ER3" s="61" t="str">
        <f t="shared" si="2"/>
        <v/>
      </c>
      <c r="ES3" s="61" t="str">
        <f t="shared" si="2"/>
        <v/>
      </c>
      <c r="ET3" s="61" t="str">
        <f t="shared" si="2"/>
        <v/>
      </c>
      <c r="EU3" s="61" t="str">
        <f t="shared" si="2"/>
        <v/>
      </c>
      <c r="EV3" s="61" t="str">
        <f t="shared" si="2"/>
        <v/>
      </c>
      <c r="EW3" s="61" t="str">
        <f t="shared" si="2"/>
        <v/>
      </c>
      <c r="EX3" s="61" t="str">
        <f t="shared" si="2"/>
        <v/>
      </c>
      <c r="EY3" s="61" t="str">
        <f t="shared" si="2"/>
        <v/>
      </c>
      <c r="EZ3" s="61" t="str">
        <f t="shared" si="2"/>
        <v/>
      </c>
      <c r="FA3" s="61" t="str">
        <f t="shared" si="2"/>
        <v/>
      </c>
      <c r="FB3" s="61" t="str">
        <f t="shared" si="2"/>
        <v/>
      </c>
      <c r="FC3" s="61" t="str">
        <f t="shared" si="2"/>
        <v/>
      </c>
      <c r="FD3" s="61" t="str">
        <f t="shared" si="2"/>
        <v/>
      </c>
      <c r="FE3" s="61" t="str">
        <f t="shared" si="2"/>
        <v/>
      </c>
      <c r="FF3" s="61" t="str">
        <f t="shared" si="2"/>
        <v/>
      </c>
      <c r="FG3" s="61" t="str">
        <f t="shared" si="2"/>
        <v/>
      </c>
      <c r="FH3" s="61" t="str">
        <f t="shared" si="2"/>
        <v/>
      </c>
      <c r="FI3" s="61" t="str">
        <f t="shared" si="2"/>
        <v/>
      </c>
      <c r="FJ3" s="61" t="str">
        <f t="shared" si="2"/>
        <v/>
      </c>
      <c r="FK3" s="61" t="str">
        <f t="shared" si="2"/>
        <v/>
      </c>
      <c r="FL3" s="61" t="str">
        <f t="shared" si="2"/>
        <v/>
      </c>
      <c r="FM3" s="61" t="str">
        <f t="shared" si="2"/>
        <v/>
      </c>
      <c r="FN3" s="61" t="str">
        <f t="shared" si="2"/>
        <v/>
      </c>
      <c r="FO3" s="61" t="str">
        <f t="shared" si="2"/>
        <v/>
      </c>
      <c r="FP3" s="61" t="str">
        <f t="shared" si="2"/>
        <v/>
      </c>
      <c r="FQ3" s="61" t="str">
        <f t="shared" si="2"/>
        <v/>
      </c>
      <c r="FR3" s="61" t="str">
        <f t="shared" si="2"/>
        <v/>
      </c>
      <c r="FS3" s="61" t="str">
        <f t="shared" si="2"/>
        <v/>
      </c>
      <c r="FT3" s="61" t="str">
        <f t="shared" si="2"/>
        <v/>
      </c>
      <c r="FU3" s="61" t="str">
        <f t="shared" si="2"/>
        <v/>
      </c>
      <c r="FV3" s="61" t="str">
        <f t="shared" si="2"/>
        <v/>
      </c>
      <c r="FW3" s="61" t="str">
        <f t="shared" si="2"/>
        <v/>
      </c>
      <c r="FX3" s="61" t="str">
        <f t="shared" si="2"/>
        <v/>
      </c>
      <c r="FY3" s="61" t="str">
        <f t="shared" si="2"/>
        <v/>
      </c>
      <c r="FZ3" s="61" t="str">
        <f t="shared" si="2"/>
        <v/>
      </c>
      <c r="GA3" s="61" t="str">
        <f t="shared" si="2"/>
        <v/>
      </c>
      <c r="GB3" s="61" t="str">
        <f t="shared" si="2"/>
        <v/>
      </c>
      <c r="GC3" s="61" t="str">
        <f t="shared" si="2"/>
        <v/>
      </c>
      <c r="GD3" s="61" t="str">
        <f t="shared" si="2"/>
        <v/>
      </c>
      <c r="GE3" s="61" t="str">
        <f t="shared" si="2"/>
        <v/>
      </c>
      <c r="GF3" s="61" t="str">
        <f t="shared" si="2"/>
        <v/>
      </c>
      <c r="GG3" s="61" t="str">
        <f t="shared" si="2"/>
        <v/>
      </c>
      <c r="GH3" s="61" t="str">
        <f t="shared" si="2"/>
        <v/>
      </c>
      <c r="GI3" s="61" t="str">
        <f t="shared" si="2"/>
        <v/>
      </c>
      <c r="GJ3" s="61" t="str">
        <f t="shared" si="2"/>
        <v/>
      </c>
      <c r="GK3" s="61" t="str">
        <f t="shared" si="2"/>
        <v/>
      </c>
      <c r="GL3" s="61" t="str">
        <f t="shared" si="2"/>
        <v/>
      </c>
      <c r="GM3" s="61" t="str">
        <f t="shared" si="2"/>
        <v/>
      </c>
      <c r="GN3" s="61" t="str">
        <f t="shared" si="2"/>
        <v/>
      </c>
      <c r="GO3" s="61" t="str">
        <f t="shared" si="2"/>
        <v/>
      </c>
      <c r="GP3" s="61" t="str">
        <f t="shared" si="2"/>
        <v/>
      </c>
      <c r="GQ3" s="61" t="str">
        <f t="shared" si="2"/>
        <v/>
      </c>
      <c r="GR3" s="61" t="str">
        <f t="shared" si="2"/>
        <v/>
      </c>
      <c r="GS3" s="61" t="str">
        <f t="shared" si="2"/>
        <v/>
      </c>
      <c r="GT3" s="61" t="str">
        <f t="shared" si="2"/>
        <v/>
      </c>
      <c r="GU3" s="61" t="str">
        <f t="shared" si="2"/>
        <v/>
      </c>
      <c r="GV3" s="61" t="str">
        <f t="shared" si="2"/>
        <v/>
      </c>
      <c r="GW3" s="61" t="str">
        <f t="shared" si="2"/>
        <v/>
      </c>
      <c r="GX3" s="61" t="str">
        <f t="shared" si="2"/>
        <v/>
      </c>
      <c r="GY3" s="61" t="str">
        <f t="shared" si="2"/>
        <v/>
      </c>
      <c r="GZ3" s="61" t="str">
        <f t="shared" ref="GZ3:IO3" si="3">IF(COUNTA(GZ4:GZ65536)=0,"","08")</f>
        <v/>
      </c>
      <c r="HA3" s="61" t="str">
        <f t="shared" si="3"/>
        <v/>
      </c>
      <c r="HB3" s="61" t="str">
        <f t="shared" si="3"/>
        <v/>
      </c>
      <c r="HC3" s="61" t="str">
        <f t="shared" si="3"/>
        <v/>
      </c>
      <c r="HD3" s="61" t="str">
        <f t="shared" si="3"/>
        <v/>
      </c>
      <c r="HE3" s="61" t="str">
        <f t="shared" si="3"/>
        <v/>
      </c>
      <c r="HF3" s="61" t="str">
        <f t="shared" si="3"/>
        <v/>
      </c>
      <c r="HG3" s="61" t="str">
        <f t="shared" si="3"/>
        <v/>
      </c>
      <c r="HH3" s="61" t="str">
        <f t="shared" si="3"/>
        <v/>
      </c>
      <c r="HI3" s="61" t="str">
        <f t="shared" si="3"/>
        <v/>
      </c>
      <c r="HJ3" s="61" t="str">
        <f t="shared" si="3"/>
        <v/>
      </c>
      <c r="HK3" s="61" t="str">
        <f t="shared" si="3"/>
        <v/>
      </c>
      <c r="HL3" s="61" t="str">
        <f t="shared" si="3"/>
        <v/>
      </c>
      <c r="HM3" s="61" t="str">
        <f t="shared" si="3"/>
        <v/>
      </c>
      <c r="HN3" s="61" t="str">
        <f t="shared" si="3"/>
        <v/>
      </c>
      <c r="HO3" s="61" t="str">
        <f t="shared" si="3"/>
        <v/>
      </c>
      <c r="HP3" s="61" t="str">
        <f t="shared" si="3"/>
        <v/>
      </c>
      <c r="HQ3" s="61" t="str">
        <f t="shared" si="3"/>
        <v/>
      </c>
      <c r="HR3" s="61" t="str">
        <f t="shared" si="3"/>
        <v/>
      </c>
      <c r="HS3" s="61" t="str">
        <f t="shared" si="3"/>
        <v/>
      </c>
      <c r="HT3" s="61" t="str">
        <f t="shared" si="3"/>
        <v/>
      </c>
      <c r="HU3" s="61" t="str">
        <f t="shared" si="3"/>
        <v/>
      </c>
      <c r="HV3" s="61" t="str">
        <f t="shared" si="3"/>
        <v/>
      </c>
      <c r="HW3" s="61" t="str">
        <f t="shared" si="3"/>
        <v/>
      </c>
      <c r="HX3" s="61" t="str">
        <f t="shared" si="3"/>
        <v/>
      </c>
      <c r="HY3" s="61" t="str">
        <f t="shared" si="3"/>
        <v/>
      </c>
      <c r="HZ3" s="61" t="str">
        <f t="shared" si="3"/>
        <v/>
      </c>
      <c r="IA3" s="61" t="str">
        <f t="shared" si="3"/>
        <v/>
      </c>
      <c r="IB3" s="61" t="str">
        <f t="shared" si="3"/>
        <v/>
      </c>
      <c r="IC3" s="61" t="str">
        <f t="shared" si="3"/>
        <v/>
      </c>
      <c r="ID3" s="61" t="str">
        <f t="shared" si="3"/>
        <v/>
      </c>
      <c r="IE3" s="61" t="str">
        <f t="shared" si="3"/>
        <v/>
      </c>
      <c r="IF3" s="61" t="str">
        <f t="shared" si="3"/>
        <v/>
      </c>
      <c r="IG3" s="61" t="str">
        <f t="shared" si="3"/>
        <v/>
      </c>
      <c r="IH3" s="61" t="str">
        <f t="shared" si="3"/>
        <v/>
      </c>
      <c r="II3" s="61" t="str">
        <f t="shared" si="3"/>
        <v/>
      </c>
      <c r="IJ3" s="61" t="str">
        <f t="shared" si="3"/>
        <v/>
      </c>
      <c r="IK3" s="61" t="str">
        <f t="shared" si="3"/>
        <v/>
      </c>
      <c r="IL3" s="61" t="str">
        <f t="shared" si="3"/>
        <v/>
      </c>
      <c r="IM3" s="61" t="str">
        <f t="shared" si="3"/>
        <v/>
      </c>
      <c r="IN3" s="61" t="str">
        <f t="shared" si="3"/>
        <v/>
      </c>
      <c r="IO3" s="61" t="str">
        <f t="shared" si="3"/>
        <v/>
      </c>
    </row>
    <row r="4" spans="1:249" s="12" customFormat="1" x14ac:dyDescent="0.2">
      <c r="A4" s="11" t="s">
        <v>7598</v>
      </c>
      <c r="B4" s="12" t="s">
        <v>6195</v>
      </c>
      <c r="D4" s="12" t="s">
        <v>6379</v>
      </c>
      <c r="E4" s="12" t="s">
        <v>11</v>
      </c>
      <c r="G4" s="12" t="s">
        <v>6198</v>
      </c>
      <c r="J4" s="12" t="s">
        <v>6805</v>
      </c>
      <c r="K4" s="12">
        <v>1989</v>
      </c>
      <c r="L4" s="12" t="s">
        <v>6200</v>
      </c>
      <c r="M4" s="12" t="s">
        <v>6201</v>
      </c>
      <c r="N4" s="12">
        <v>1.1000000000000001</v>
      </c>
      <c r="O4" s="12">
        <v>70</v>
      </c>
      <c r="AB4" s="14">
        <v>108</v>
      </c>
      <c r="AC4" s="12">
        <v>0.1</v>
      </c>
      <c r="AE4" s="12">
        <v>99</v>
      </c>
      <c r="AF4" s="13">
        <v>14</v>
      </c>
      <c r="AG4" s="12">
        <v>60</v>
      </c>
      <c r="AH4" s="12">
        <v>450</v>
      </c>
      <c r="AI4" s="12">
        <v>1.5</v>
      </c>
      <c r="CQ4" s="12">
        <v>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M903"/>
  <sheetViews>
    <sheetView zoomScaleNormal="100" workbookViewId="0">
      <pane xSplit="20" ySplit="3" topLeftCell="U4" activePane="bottomRight" state="frozen"/>
      <selection pane="topRight" activeCell="V1" sqref="V1"/>
      <selection pane="bottomLeft" activeCell="A4" sqref="A4"/>
      <selection pane="bottomRight"/>
    </sheetView>
  </sheetViews>
  <sheetFormatPr defaultColWidth="11.42578125" defaultRowHeight="12.75" x14ac:dyDescent="0.2"/>
  <cols>
    <col min="1" max="1" width="9.140625" style="1" customWidth="1"/>
    <col min="2" max="2" width="7" style="1" customWidth="1"/>
    <col min="3" max="3" width="9.140625" style="1" customWidth="1"/>
    <col min="4" max="4" width="4" style="1" customWidth="1"/>
    <col min="5" max="6" width="5.7109375" style="1" customWidth="1"/>
    <col min="7" max="7" width="9.140625" style="1" customWidth="1"/>
    <col min="8" max="8" width="12.28515625" style="1" customWidth="1"/>
    <col min="9" max="9" width="2.7109375" style="1" customWidth="1"/>
    <col min="10" max="10" width="7.28515625" style="1" customWidth="1"/>
    <col min="11" max="11" width="6.28515625" style="1" customWidth="1"/>
    <col min="12" max="12" width="7.7109375" style="1" customWidth="1"/>
    <col min="13" max="13" width="7.140625" style="1" customWidth="1"/>
    <col min="14" max="14" width="6.28515625" style="1" customWidth="1"/>
    <col min="15" max="15" width="3.7109375" style="1" customWidth="1"/>
    <col min="16" max="16" width="12.140625" style="1" customWidth="1"/>
    <col min="17" max="17" width="8.5703125" style="1" customWidth="1"/>
    <col min="18" max="18" width="8.85546875" style="1" customWidth="1"/>
    <col min="19" max="19" width="9.28515625" style="1" customWidth="1"/>
    <col min="20" max="20" width="3.85546875" style="1" customWidth="1"/>
    <col min="21" max="16384" width="11.42578125" style="1"/>
  </cols>
  <sheetData>
    <row r="1" spans="1:247" s="4" customFormat="1" ht="58.5" customHeight="1" x14ac:dyDescent="0.2">
      <c r="A1" s="4" t="s">
        <v>64</v>
      </c>
      <c r="B1" s="4" t="s">
        <v>1060</v>
      </c>
      <c r="C1" s="4" t="s">
        <v>65</v>
      </c>
      <c r="D1" s="4" t="s">
        <v>1</v>
      </c>
      <c r="E1" s="4" t="s">
        <v>1061</v>
      </c>
      <c r="F1" s="4" t="s">
        <v>1062</v>
      </c>
      <c r="G1" s="4" t="s">
        <v>1063</v>
      </c>
      <c r="H1" s="4" t="s">
        <v>1064</v>
      </c>
      <c r="I1" s="4" t="s">
        <v>6</v>
      </c>
      <c r="J1" s="4" t="s">
        <v>239</v>
      </c>
      <c r="K1" s="4" t="s">
        <v>1065</v>
      </c>
      <c r="L1" s="4" t="s">
        <v>1066</v>
      </c>
      <c r="M1" s="4" t="s">
        <v>68</v>
      </c>
      <c r="N1" s="4" t="s">
        <v>69</v>
      </c>
      <c r="O1" s="4" t="s">
        <v>13</v>
      </c>
      <c r="P1" s="4" t="s">
        <v>70</v>
      </c>
      <c r="Q1" s="4" t="s">
        <v>71</v>
      </c>
      <c r="R1" s="4" t="s">
        <v>240</v>
      </c>
      <c r="S1" s="4" t="s">
        <v>1067</v>
      </c>
      <c r="T1" s="4" t="s">
        <v>1068</v>
      </c>
      <c r="U1" s="4" t="s">
        <v>1069</v>
      </c>
      <c r="V1" s="4" t="s">
        <v>243</v>
      </c>
      <c r="W1" s="4" t="s">
        <v>244</v>
      </c>
      <c r="X1" s="4" t="s">
        <v>1070</v>
      </c>
      <c r="Y1" s="4" t="s">
        <v>245</v>
      </c>
      <c r="Z1" s="4" t="s">
        <v>73</v>
      </c>
      <c r="AA1" s="4" t="s">
        <v>74</v>
      </c>
      <c r="AB1" s="4" t="s">
        <v>1071</v>
      </c>
      <c r="AC1" s="4" t="s">
        <v>6212</v>
      </c>
      <c r="AD1" s="4" t="s">
        <v>7017</v>
      </c>
      <c r="AE1" s="4" t="s">
        <v>246</v>
      </c>
      <c r="AF1" s="29" t="s">
        <v>7055</v>
      </c>
      <c r="AG1" s="4" t="s">
        <v>1072</v>
      </c>
      <c r="AH1" s="4" t="s">
        <v>1073</v>
      </c>
      <c r="AI1" s="4" t="s">
        <v>76</v>
      </c>
      <c r="AJ1" s="4" t="s">
        <v>77</v>
      </c>
      <c r="AK1" s="4" t="s">
        <v>1074</v>
      </c>
      <c r="AL1" s="4" t="s">
        <v>1075</v>
      </c>
      <c r="AM1" s="4" t="s">
        <v>1076</v>
      </c>
      <c r="AN1" s="4" t="s">
        <v>78</v>
      </c>
      <c r="AO1" s="4" t="s">
        <v>1077</v>
      </c>
      <c r="AP1" s="29" t="s">
        <v>79</v>
      </c>
      <c r="AQ1" s="4" t="s">
        <v>6214</v>
      </c>
      <c r="AR1" s="4" t="s">
        <v>247</v>
      </c>
      <c r="AS1" s="4" t="s">
        <v>1078</v>
      </c>
      <c r="AT1" s="29" t="s">
        <v>6221</v>
      </c>
      <c r="AU1" s="4" t="s">
        <v>82</v>
      </c>
      <c r="AV1" s="4" t="s">
        <v>84</v>
      </c>
      <c r="AW1" s="4" t="s">
        <v>1079</v>
      </c>
      <c r="AX1" s="4" t="s">
        <v>1081</v>
      </c>
      <c r="AY1" s="4" t="s">
        <v>85</v>
      </c>
      <c r="AZ1" s="4" t="s">
        <v>1082</v>
      </c>
      <c r="BA1" s="4" t="s">
        <v>250</v>
      </c>
      <c r="BB1" s="4" t="s">
        <v>1083</v>
      </c>
      <c r="BC1" s="29" t="s">
        <v>7147</v>
      </c>
      <c r="BD1" s="4" t="s">
        <v>86</v>
      </c>
      <c r="BE1" s="29" t="s">
        <v>7149</v>
      </c>
      <c r="BF1" s="4" t="s">
        <v>87</v>
      </c>
      <c r="BG1" s="4" t="s">
        <v>1084</v>
      </c>
      <c r="BH1" s="4" t="s">
        <v>88</v>
      </c>
      <c r="BI1" s="29" t="s">
        <v>7151</v>
      </c>
      <c r="BJ1" s="4" t="s">
        <v>89</v>
      </c>
      <c r="BK1" s="4" t="s">
        <v>251</v>
      </c>
      <c r="BL1" s="4" t="s">
        <v>1085</v>
      </c>
      <c r="BM1" s="4" t="s">
        <v>90</v>
      </c>
      <c r="BN1" s="4" t="s">
        <v>1086</v>
      </c>
      <c r="BO1" s="4" t="s">
        <v>1087</v>
      </c>
      <c r="BP1" s="4" t="s">
        <v>91</v>
      </c>
      <c r="BQ1" s="4" t="s">
        <v>1088</v>
      </c>
      <c r="BR1" s="4" t="s">
        <v>1089</v>
      </c>
      <c r="BS1" s="4" t="s">
        <v>1090</v>
      </c>
      <c r="BT1" s="29" t="s">
        <v>1096</v>
      </c>
      <c r="BU1" s="4" t="s">
        <v>1091</v>
      </c>
      <c r="BV1" s="4" t="s">
        <v>1092</v>
      </c>
      <c r="BW1" s="4" t="s">
        <v>92</v>
      </c>
      <c r="BX1" s="4" t="s">
        <v>249</v>
      </c>
      <c r="BY1" s="4" t="s">
        <v>1093</v>
      </c>
      <c r="BZ1" s="4" t="s">
        <v>1080</v>
      </c>
      <c r="CA1" s="4" t="s">
        <v>1094</v>
      </c>
      <c r="CB1" s="4" t="s">
        <v>1095</v>
      </c>
      <c r="CC1" s="4" t="s">
        <v>252</v>
      </c>
      <c r="CD1" s="4" t="s">
        <v>1096</v>
      </c>
      <c r="CE1" s="4" t="s">
        <v>1097</v>
      </c>
      <c r="CF1" s="4" t="s">
        <v>1099</v>
      </c>
      <c r="CG1" s="4" t="s">
        <v>1100</v>
      </c>
      <c r="CH1" s="4" t="s">
        <v>1101</v>
      </c>
      <c r="CI1" s="29" t="s">
        <v>6601</v>
      </c>
      <c r="CJ1" s="29" t="s">
        <v>253</v>
      </c>
      <c r="CK1" s="47" t="s">
        <v>1098</v>
      </c>
      <c r="CL1" s="4" t="s">
        <v>1102</v>
      </c>
      <c r="CM1" s="4" t="s">
        <v>256</v>
      </c>
      <c r="CN1" s="29" t="s">
        <v>7154</v>
      </c>
      <c r="CO1" s="29" t="s">
        <v>6234</v>
      </c>
      <c r="CP1" s="29" t="s">
        <v>6235</v>
      </c>
      <c r="CQ1" s="33" t="s">
        <v>6606</v>
      </c>
      <c r="CR1" s="4" t="s">
        <v>1103</v>
      </c>
      <c r="CS1" s="29" t="s">
        <v>6609</v>
      </c>
      <c r="CT1" s="4" t="s">
        <v>1104</v>
      </c>
      <c r="CU1" s="4" t="s">
        <v>1105</v>
      </c>
      <c r="CV1" s="4" t="s">
        <v>1106</v>
      </c>
      <c r="CW1" s="29" t="s">
        <v>7612</v>
      </c>
      <c r="CX1" s="29" t="s">
        <v>7608</v>
      </c>
      <c r="CY1" s="29" t="s">
        <v>6611</v>
      </c>
      <c r="CZ1" s="4" t="s">
        <v>93</v>
      </c>
      <c r="DA1" s="16" t="s">
        <v>7156</v>
      </c>
      <c r="DB1" s="4" t="s">
        <v>94</v>
      </c>
      <c r="DC1" s="4" t="s">
        <v>1107</v>
      </c>
      <c r="DD1" s="4" t="s">
        <v>95</v>
      </c>
      <c r="DE1" s="4" t="s">
        <v>1108</v>
      </c>
      <c r="DF1" s="4" t="s">
        <v>1109</v>
      </c>
      <c r="DG1" s="29" t="s">
        <v>6615</v>
      </c>
      <c r="DH1" s="4" t="s">
        <v>1110</v>
      </c>
      <c r="DI1" s="4" t="s">
        <v>1111</v>
      </c>
      <c r="DJ1" s="4" t="s">
        <v>1112</v>
      </c>
      <c r="DK1" s="4" t="s">
        <v>1113</v>
      </c>
      <c r="DL1" s="29" t="s">
        <v>261</v>
      </c>
      <c r="DM1" s="4" t="s">
        <v>1114</v>
      </c>
      <c r="DN1" s="4" t="s">
        <v>262</v>
      </c>
      <c r="DO1" s="29" t="s">
        <v>263</v>
      </c>
      <c r="DP1" s="4" t="s">
        <v>1115</v>
      </c>
      <c r="DQ1" s="4" t="s">
        <v>1125</v>
      </c>
      <c r="DR1" s="4" t="s">
        <v>1116</v>
      </c>
      <c r="DS1" s="4" t="s">
        <v>1117</v>
      </c>
      <c r="DT1" s="4" t="s">
        <v>1118</v>
      </c>
      <c r="DU1" s="4" t="s">
        <v>133</v>
      </c>
      <c r="DV1" s="4" t="s">
        <v>134</v>
      </c>
      <c r="DW1" s="4" t="s">
        <v>135</v>
      </c>
      <c r="DX1" s="4" t="s">
        <v>267</v>
      </c>
      <c r="DY1" s="4" t="s">
        <v>136</v>
      </c>
      <c r="DZ1" s="4" t="s">
        <v>1119</v>
      </c>
      <c r="EA1" s="4" t="s">
        <v>137</v>
      </c>
      <c r="EB1" s="4" t="s">
        <v>138</v>
      </c>
      <c r="EC1" s="4" t="s">
        <v>139</v>
      </c>
      <c r="ED1" s="4" t="s">
        <v>1120</v>
      </c>
      <c r="EE1" s="4" t="s">
        <v>1121</v>
      </c>
      <c r="EF1" s="4" t="s">
        <v>140</v>
      </c>
      <c r="EG1" s="4" t="s">
        <v>141</v>
      </c>
      <c r="EH1" s="4" t="s">
        <v>142</v>
      </c>
      <c r="EI1" s="4" t="s">
        <v>143</v>
      </c>
      <c r="EJ1" s="29" t="s">
        <v>6900</v>
      </c>
      <c r="EK1" s="4" t="s">
        <v>144</v>
      </c>
      <c r="EL1" s="4" t="s">
        <v>145</v>
      </c>
      <c r="EM1" s="4" t="s">
        <v>146</v>
      </c>
      <c r="EN1" s="4" t="s">
        <v>1122</v>
      </c>
      <c r="EO1" s="4" t="s">
        <v>147</v>
      </c>
      <c r="EP1" s="4" t="s">
        <v>148</v>
      </c>
      <c r="EQ1" s="4" t="s">
        <v>149</v>
      </c>
      <c r="ER1" s="4" t="s">
        <v>150</v>
      </c>
      <c r="ES1" s="29" t="s">
        <v>7158</v>
      </c>
      <c r="ET1" s="4" t="s">
        <v>1123</v>
      </c>
      <c r="EU1" s="4" t="s">
        <v>1124</v>
      </c>
      <c r="EV1" s="29" t="s">
        <v>7160</v>
      </c>
      <c r="EW1" s="4" t="s">
        <v>1126</v>
      </c>
      <c r="EX1" s="29" t="s">
        <v>1126</v>
      </c>
      <c r="EY1" s="4" t="s">
        <v>1127</v>
      </c>
      <c r="EZ1" s="29" t="s">
        <v>7162</v>
      </c>
      <c r="FA1" s="4" t="s">
        <v>103</v>
      </c>
      <c r="FB1" s="4" t="s">
        <v>1128</v>
      </c>
      <c r="FC1" s="29" t="s">
        <v>104</v>
      </c>
      <c r="FD1" s="4" t="s">
        <v>105</v>
      </c>
      <c r="FE1" s="4" t="s">
        <v>106</v>
      </c>
      <c r="FF1" s="4" t="s">
        <v>1129</v>
      </c>
      <c r="FG1" s="4" t="s">
        <v>1130</v>
      </c>
      <c r="FH1" s="29" t="s">
        <v>102</v>
      </c>
      <c r="FI1" s="4" t="s">
        <v>1131</v>
      </c>
      <c r="FJ1" s="4" t="s">
        <v>1132</v>
      </c>
      <c r="FK1" s="4" t="s">
        <v>1133</v>
      </c>
      <c r="FL1" s="4" t="s">
        <v>1134</v>
      </c>
    </row>
    <row r="2" spans="1:247" s="5" customFormat="1" ht="58.5" customHeight="1" x14ac:dyDescent="0.2">
      <c r="C2" s="5" t="s">
        <v>152</v>
      </c>
      <c r="D2" s="5" t="s">
        <v>1135</v>
      </c>
      <c r="I2" s="5" t="s">
        <v>153</v>
      </c>
      <c r="M2" s="5" t="s">
        <v>154</v>
      </c>
      <c r="N2" s="5" t="s">
        <v>155</v>
      </c>
      <c r="O2" s="5" t="s">
        <v>14</v>
      </c>
      <c r="U2" s="5" t="s">
        <v>1136</v>
      </c>
      <c r="V2" s="5" t="s">
        <v>1137</v>
      </c>
      <c r="W2" s="5" t="s">
        <v>1137</v>
      </c>
      <c r="X2" s="5" t="s">
        <v>1138</v>
      </c>
      <c r="Y2" s="5" t="s">
        <v>275</v>
      </c>
      <c r="Z2" s="5" t="s">
        <v>156</v>
      </c>
      <c r="AA2" s="5" t="s">
        <v>157</v>
      </c>
      <c r="AB2" s="5" t="s">
        <v>1139</v>
      </c>
      <c r="AC2" s="5" t="s">
        <v>158</v>
      </c>
      <c r="AD2" s="5" t="s">
        <v>1140</v>
      </c>
      <c r="AE2" s="5" t="s">
        <v>159</v>
      </c>
      <c r="AF2" s="30" t="s">
        <v>7057</v>
      </c>
      <c r="AG2" s="5" t="s">
        <v>1141</v>
      </c>
      <c r="AH2" s="5" t="s">
        <v>1142</v>
      </c>
      <c r="AI2" s="5" t="s">
        <v>160</v>
      </c>
      <c r="AJ2" s="5" t="s">
        <v>161</v>
      </c>
      <c r="AK2" s="5" t="s">
        <v>1143</v>
      </c>
      <c r="AL2" s="5" t="s">
        <v>1144</v>
      </c>
      <c r="AM2" s="5" t="s">
        <v>1145</v>
      </c>
      <c r="AN2" s="5" t="s">
        <v>1146</v>
      </c>
      <c r="AO2" s="5" t="s">
        <v>1147</v>
      </c>
      <c r="AP2" s="30" t="s">
        <v>6721</v>
      </c>
      <c r="AQ2" s="5" t="s">
        <v>164</v>
      </c>
      <c r="AR2" s="5" t="s">
        <v>1148</v>
      </c>
      <c r="AS2" s="5" t="s">
        <v>1149</v>
      </c>
      <c r="AT2" s="30" t="s">
        <v>6798</v>
      </c>
      <c r="AU2" s="5" t="s">
        <v>166</v>
      </c>
      <c r="AV2" s="5" t="s">
        <v>168</v>
      </c>
      <c r="AW2" s="5" t="s">
        <v>1150</v>
      </c>
      <c r="AX2" s="5" t="s">
        <v>1152</v>
      </c>
      <c r="AY2" s="5" t="s">
        <v>169</v>
      </c>
      <c r="AZ2" s="5" t="s">
        <v>1153</v>
      </c>
      <c r="BA2" s="5" t="s">
        <v>284</v>
      </c>
      <c r="BB2" s="5" t="s">
        <v>1154</v>
      </c>
      <c r="BC2" s="30" t="s">
        <v>7148</v>
      </c>
      <c r="BD2" s="5" t="s">
        <v>170</v>
      </c>
      <c r="BE2" s="30" t="s">
        <v>7150</v>
      </c>
      <c r="BF2" s="5" t="s">
        <v>171</v>
      </c>
      <c r="BG2" s="5" t="s">
        <v>1155</v>
      </c>
      <c r="BH2" s="5" t="s">
        <v>172</v>
      </c>
      <c r="BI2" s="30" t="s">
        <v>7152</v>
      </c>
      <c r="BJ2" s="5" t="s">
        <v>173</v>
      </c>
      <c r="BK2" s="5" t="s">
        <v>286</v>
      </c>
      <c r="BL2" s="5" t="s">
        <v>1156</v>
      </c>
      <c r="BM2" s="5" t="s">
        <v>174</v>
      </c>
      <c r="BN2" s="5" t="s">
        <v>1157</v>
      </c>
      <c r="BO2" s="5" t="s">
        <v>1158</v>
      </c>
      <c r="BP2" s="5" t="s">
        <v>175</v>
      </c>
      <c r="BQ2" s="5" t="s">
        <v>1159</v>
      </c>
      <c r="BR2" s="5" t="s">
        <v>1160</v>
      </c>
      <c r="BS2" s="5" t="s">
        <v>1161</v>
      </c>
      <c r="BT2" s="30" t="s">
        <v>7153</v>
      </c>
      <c r="BU2" s="5" t="s">
        <v>1162</v>
      </c>
      <c r="BV2" s="5" t="s">
        <v>1163</v>
      </c>
      <c r="BW2" s="5" t="s">
        <v>176</v>
      </c>
      <c r="BX2" s="5" t="s">
        <v>283</v>
      </c>
      <c r="BY2" s="5" t="s">
        <v>1164</v>
      </c>
      <c r="BZ2" s="5" t="s">
        <v>1151</v>
      </c>
      <c r="CA2" s="5" t="s">
        <v>1165</v>
      </c>
      <c r="CB2" s="5" t="s">
        <v>1166</v>
      </c>
      <c r="CC2" s="5" t="s">
        <v>287</v>
      </c>
      <c r="CD2" s="5" t="s">
        <v>1167</v>
      </c>
      <c r="CE2" s="5" t="s">
        <v>1168</v>
      </c>
      <c r="CF2" s="5" t="s">
        <v>1170</v>
      </c>
      <c r="CG2" s="5" t="s">
        <v>1171</v>
      </c>
      <c r="CH2" s="5" t="s">
        <v>1172</v>
      </c>
      <c r="CI2" s="30" t="s">
        <v>6602</v>
      </c>
      <c r="CJ2" s="31" t="s">
        <v>6604</v>
      </c>
      <c r="CK2" s="5" t="s">
        <v>1169</v>
      </c>
      <c r="CL2" s="5" t="s">
        <v>1173</v>
      </c>
      <c r="CM2" s="5" t="s">
        <v>1174</v>
      </c>
      <c r="CN2" s="30" t="s">
        <v>7155</v>
      </c>
      <c r="CO2" s="30" t="s">
        <v>6856</v>
      </c>
      <c r="CP2" s="30" t="s">
        <v>6704</v>
      </c>
      <c r="CQ2" s="32" t="s">
        <v>6607</v>
      </c>
      <c r="CR2" s="5" t="s">
        <v>1175</v>
      </c>
      <c r="CS2" s="5" t="s">
        <v>6858</v>
      </c>
      <c r="CT2" s="5" t="s">
        <v>1176</v>
      </c>
      <c r="CU2" s="5" t="s">
        <v>1177</v>
      </c>
      <c r="CV2" s="5" t="s">
        <v>1178</v>
      </c>
      <c r="CW2" s="30"/>
      <c r="CX2" s="30"/>
      <c r="CY2" s="30" t="s">
        <v>6612</v>
      </c>
      <c r="CZ2" s="5" t="s">
        <v>177</v>
      </c>
      <c r="DA2" s="43" t="s">
        <v>7157</v>
      </c>
      <c r="DB2" s="5" t="s">
        <v>178</v>
      </c>
      <c r="DC2" s="5" t="s">
        <v>1179</v>
      </c>
      <c r="DD2" s="5" t="s">
        <v>179</v>
      </c>
      <c r="DE2" s="5" t="s">
        <v>1180</v>
      </c>
      <c r="DF2" s="5" t="s">
        <v>1181</v>
      </c>
      <c r="DG2" s="30" t="s">
        <v>6616</v>
      </c>
      <c r="DH2" s="5" t="s">
        <v>1182</v>
      </c>
      <c r="DI2" s="5" t="s">
        <v>1183</v>
      </c>
      <c r="DJ2" s="5" t="s">
        <v>1184</v>
      </c>
      <c r="DK2" s="5" t="s">
        <v>1185</v>
      </c>
      <c r="DL2" s="30" t="s">
        <v>6907</v>
      </c>
      <c r="DM2" s="5" t="s">
        <v>1186</v>
      </c>
      <c r="DN2" s="5" t="s">
        <v>297</v>
      </c>
      <c r="DO2" s="30" t="s">
        <v>298</v>
      </c>
      <c r="DP2" s="5" t="s">
        <v>1187</v>
      </c>
      <c r="DQ2" s="5" t="s">
        <v>1197</v>
      </c>
      <c r="DR2" s="5" t="s">
        <v>1188</v>
      </c>
      <c r="DS2" s="5" t="s">
        <v>1189</v>
      </c>
      <c r="DT2" s="5" t="s">
        <v>1190</v>
      </c>
      <c r="DU2" s="5" t="s">
        <v>217</v>
      </c>
      <c r="DV2" s="5" t="s">
        <v>218</v>
      </c>
      <c r="DW2" s="5" t="s">
        <v>219</v>
      </c>
      <c r="DX2" s="5" t="s">
        <v>301</v>
      </c>
      <c r="DY2" s="5" t="s">
        <v>220</v>
      </c>
      <c r="DZ2" s="5" t="s">
        <v>1191</v>
      </c>
      <c r="EA2" s="5" t="s">
        <v>221</v>
      </c>
      <c r="EB2" s="5" t="s">
        <v>222</v>
      </c>
      <c r="EC2" s="5" t="s">
        <v>223</v>
      </c>
      <c r="ED2" s="5" t="s">
        <v>1192</v>
      </c>
      <c r="EE2" s="5" t="s">
        <v>1193</v>
      </c>
      <c r="EF2" s="5" t="s">
        <v>224</v>
      </c>
      <c r="EG2" s="5" t="s">
        <v>225</v>
      </c>
      <c r="EH2" s="5" t="s">
        <v>226</v>
      </c>
      <c r="EI2" s="5" t="s">
        <v>227</v>
      </c>
      <c r="EJ2" s="30" t="s">
        <v>7009</v>
      </c>
      <c r="EK2" s="5" t="s">
        <v>228</v>
      </c>
      <c r="EL2" s="5" t="s">
        <v>229</v>
      </c>
      <c r="EM2" s="5" t="s">
        <v>230</v>
      </c>
      <c r="EN2" s="5" t="s">
        <v>1194</v>
      </c>
      <c r="EO2" s="5" t="s">
        <v>231</v>
      </c>
      <c r="EP2" s="5" t="s">
        <v>232</v>
      </c>
      <c r="EQ2" s="5" t="s">
        <v>233</v>
      </c>
      <c r="ER2" s="5" t="s">
        <v>234</v>
      </c>
      <c r="ES2" s="30" t="s">
        <v>7159</v>
      </c>
      <c r="ET2" s="5" t="s">
        <v>1195</v>
      </c>
      <c r="EU2" s="5" t="s">
        <v>1196</v>
      </c>
      <c r="EV2" s="30" t="s">
        <v>7161</v>
      </c>
      <c r="EW2" s="5" t="s">
        <v>1198</v>
      </c>
      <c r="EX2" s="30" t="s">
        <v>6911</v>
      </c>
      <c r="EY2" s="5" t="s">
        <v>1199</v>
      </c>
      <c r="EZ2" s="30" t="s">
        <v>7163</v>
      </c>
      <c r="FA2" s="5" t="s">
        <v>1200</v>
      </c>
      <c r="FB2" s="5" t="s">
        <v>1201</v>
      </c>
      <c r="FC2" s="30" t="s">
        <v>6756</v>
      </c>
      <c r="FD2" s="5" t="s">
        <v>189</v>
      </c>
      <c r="FE2" s="5" t="s">
        <v>190</v>
      </c>
      <c r="FF2" s="5" t="s">
        <v>1202</v>
      </c>
      <c r="FG2" s="5" t="s">
        <v>1203</v>
      </c>
      <c r="FH2" s="30" t="s">
        <v>6754</v>
      </c>
      <c r="FI2" s="5" t="s">
        <v>1204</v>
      </c>
      <c r="FJ2" s="5" t="s">
        <v>1205</v>
      </c>
      <c r="FK2" s="5" t="s">
        <v>1206</v>
      </c>
      <c r="FL2" s="5" t="s">
        <v>1207</v>
      </c>
    </row>
    <row r="3" spans="1:247" s="61" customFormat="1" ht="58.5" hidden="1" customHeight="1" x14ac:dyDescent="0.2">
      <c r="U3" s="61" t="str">
        <f>IF(COUNTA(U4:U65536)=0,"","09")</f>
        <v>09</v>
      </c>
      <c r="V3" s="61" t="str">
        <f t="shared" ref="V3:CG3" si="0">IF(COUNTA(V4:V65536)=0,"","09")</f>
        <v>09</v>
      </c>
      <c r="W3" s="61" t="str">
        <f t="shared" si="0"/>
        <v>09</v>
      </c>
      <c r="X3" s="61" t="str">
        <f t="shared" si="0"/>
        <v>09</v>
      </c>
      <c r="Y3" s="61" t="str">
        <f t="shared" si="0"/>
        <v>09</v>
      </c>
      <c r="Z3" s="61" t="str">
        <f t="shared" si="0"/>
        <v>09</v>
      </c>
      <c r="AA3" s="61" t="str">
        <f t="shared" si="0"/>
        <v>09</v>
      </c>
      <c r="AB3" s="61" t="str">
        <f t="shared" si="0"/>
        <v>09</v>
      </c>
      <c r="AC3" s="61" t="str">
        <f t="shared" si="0"/>
        <v>09</v>
      </c>
      <c r="AD3" s="61" t="str">
        <f t="shared" si="0"/>
        <v>09</v>
      </c>
      <c r="AE3" s="61" t="str">
        <f t="shared" si="0"/>
        <v>09</v>
      </c>
      <c r="AF3" s="61" t="str">
        <f t="shared" si="0"/>
        <v/>
      </c>
      <c r="AG3" s="61" t="str">
        <f t="shared" si="0"/>
        <v>09</v>
      </c>
      <c r="AH3" s="61" t="str">
        <f t="shared" si="0"/>
        <v>09</v>
      </c>
      <c r="AI3" s="61" t="str">
        <f t="shared" si="0"/>
        <v>09</v>
      </c>
      <c r="AJ3" s="61" t="str">
        <f t="shared" si="0"/>
        <v>09</v>
      </c>
      <c r="AK3" s="61" t="str">
        <f t="shared" si="0"/>
        <v>09</v>
      </c>
      <c r="AL3" s="61" t="str">
        <f t="shared" si="0"/>
        <v>09</v>
      </c>
      <c r="AM3" s="61" t="str">
        <f t="shared" si="0"/>
        <v>09</v>
      </c>
      <c r="AN3" s="61" t="str">
        <f t="shared" si="0"/>
        <v>09</v>
      </c>
      <c r="AO3" s="61" t="str">
        <f t="shared" si="0"/>
        <v>09</v>
      </c>
      <c r="AP3" s="61" t="str">
        <f t="shared" si="0"/>
        <v/>
      </c>
      <c r="AQ3" s="61" t="str">
        <f t="shared" si="0"/>
        <v>09</v>
      </c>
      <c r="AR3" s="61" t="str">
        <f t="shared" si="0"/>
        <v>09</v>
      </c>
      <c r="AS3" s="61" t="str">
        <f t="shared" si="0"/>
        <v>09</v>
      </c>
      <c r="AT3" s="61" t="str">
        <f t="shared" si="0"/>
        <v/>
      </c>
      <c r="AU3" s="61" t="str">
        <f t="shared" si="0"/>
        <v>09</v>
      </c>
      <c r="AV3" s="61" t="str">
        <f t="shared" si="0"/>
        <v>09</v>
      </c>
      <c r="AW3" s="61" t="str">
        <f t="shared" si="0"/>
        <v>09</v>
      </c>
      <c r="AX3" s="61" t="str">
        <f t="shared" si="0"/>
        <v>09</v>
      </c>
      <c r="AY3" s="61" t="str">
        <f t="shared" si="0"/>
        <v>09</v>
      </c>
      <c r="AZ3" s="61" t="str">
        <f t="shared" si="0"/>
        <v>09</v>
      </c>
      <c r="BA3" s="61" t="str">
        <f t="shared" si="0"/>
        <v>09</v>
      </c>
      <c r="BB3" s="61" t="str">
        <f t="shared" si="0"/>
        <v>09</v>
      </c>
      <c r="BC3" s="61" t="str">
        <f t="shared" si="0"/>
        <v/>
      </c>
      <c r="BD3" s="61" t="str">
        <f t="shared" si="0"/>
        <v>09</v>
      </c>
      <c r="BE3" s="61" t="str">
        <f t="shared" si="0"/>
        <v/>
      </c>
      <c r="BF3" s="61" t="str">
        <f t="shared" si="0"/>
        <v>09</v>
      </c>
      <c r="BG3" s="61" t="str">
        <f t="shared" si="0"/>
        <v>09</v>
      </c>
      <c r="BH3" s="61" t="str">
        <f t="shared" si="0"/>
        <v>09</v>
      </c>
      <c r="BI3" s="61" t="str">
        <f t="shared" si="0"/>
        <v/>
      </c>
      <c r="BJ3" s="61" t="str">
        <f t="shared" si="0"/>
        <v>09</v>
      </c>
      <c r="BK3" s="61" t="str">
        <f t="shared" si="0"/>
        <v>09</v>
      </c>
      <c r="BL3" s="61" t="str">
        <f t="shared" si="0"/>
        <v>09</v>
      </c>
      <c r="BM3" s="61" t="str">
        <f t="shared" si="0"/>
        <v>09</v>
      </c>
      <c r="BN3" s="61" t="str">
        <f t="shared" si="0"/>
        <v>09</v>
      </c>
      <c r="BO3" s="61" t="str">
        <f t="shared" si="0"/>
        <v>09</v>
      </c>
      <c r="BP3" s="61" t="str">
        <f t="shared" si="0"/>
        <v>09</v>
      </c>
      <c r="BQ3" s="61" t="str">
        <f t="shared" si="0"/>
        <v>09</v>
      </c>
      <c r="BR3" s="61" t="str">
        <f t="shared" si="0"/>
        <v>09</v>
      </c>
      <c r="BS3" s="61" t="str">
        <f t="shared" si="0"/>
        <v>09</v>
      </c>
      <c r="BT3" s="61" t="str">
        <f t="shared" si="0"/>
        <v/>
      </c>
      <c r="BU3" s="61" t="str">
        <f t="shared" si="0"/>
        <v>09</v>
      </c>
      <c r="BV3" s="61" t="str">
        <f t="shared" si="0"/>
        <v>09</v>
      </c>
      <c r="BW3" s="61" t="str">
        <f t="shared" si="0"/>
        <v>09</v>
      </c>
      <c r="BX3" s="61" t="str">
        <f t="shared" si="0"/>
        <v>09</v>
      </c>
      <c r="BY3" s="61" t="str">
        <f t="shared" si="0"/>
        <v>09</v>
      </c>
      <c r="BZ3" s="61" t="str">
        <f t="shared" si="0"/>
        <v>09</v>
      </c>
      <c r="CA3" s="61" t="str">
        <f t="shared" si="0"/>
        <v>09</v>
      </c>
      <c r="CB3" s="61" t="str">
        <f t="shared" si="0"/>
        <v>09</v>
      </c>
      <c r="CC3" s="61" t="str">
        <f t="shared" si="0"/>
        <v>09</v>
      </c>
      <c r="CD3" s="61" t="str">
        <f t="shared" si="0"/>
        <v>09</v>
      </c>
      <c r="CE3" s="61" t="str">
        <f t="shared" si="0"/>
        <v>09</v>
      </c>
      <c r="CF3" s="61" t="str">
        <f t="shared" si="0"/>
        <v>09</v>
      </c>
      <c r="CG3" s="61" t="str">
        <f t="shared" si="0"/>
        <v>09</v>
      </c>
      <c r="CH3" s="61" t="str">
        <f t="shared" ref="CH3" si="1">IF(COUNTA(CH4:CH65536)=0,"","09")</f>
        <v>09</v>
      </c>
      <c r="CI3" s="61" t="str">
        <f t="shared" ref="CI3:DN3" si="2">IF(COUNTA(CI4:CI65536)=0,"","09")</f>
        <v>09</v>
      </c>
      <c r="CJ3" s="61" t="str">
        <f t="shared" si="2"/>
        <v>09</v>
      </c>
      <c r="CK3" s="61" t="str">
        <f t="shared" si="2"/>
        <v>09</v>
      </c>
      <c r="CL3" s="61" t="str">
        <f t="shared" si="2"/>
        <v>09</v>
      </c>
      <c r="CM3" s="61" t="str">
        <f t="shared" si="2"/>
        <v>09</v>
      </c>
      <c r="CN3" s="61" t="str">
        <f t="shared" si="2"/>
        <v/>
      </c>
      <c r="CO3" s="61" t="str">
        <f t="shared" si="2"/>
        <v/>
      </c>
      <c r="CP3" s="61" t="str">
        <f t="shared" si="2"/>
        <v/>
      </c>
      <c r="CQ3" s="61" t="str">
        <f t="shared" si="2"/>
        <v>09</v>
      </c>
      <c r="CR3" s="61" t="str">
        <f t="shared" si="2"/>
        <v>09</v>
      </c>
      <c r="CS3" s="61" t="str">
        <f t="shared" si="2"/>
        <v>09</v>
      </c>
      <c r="CT3" s="61" t="str">
        <f t="shared" si="2"/>
        <v>09</v>
      </c>
      <c r="CU3" s="61" t="str">
        <f t="shared" si="2"/>
        <v>09</v>
      </c>
      <c r="CV3" s="61" t="str">
        <f t="shared" si="2"/>
        <v>09</v>
      </c>
      <c r="CW3" s="61" t="str">
        <f t="shared" si="2"/>
        <v>09</v>
      </c>
      <c r="CX3" s="61" t="str">
        <f t="shared" si="2"/>
        <v>09</v>
      </c>
      <c r="CY3" s="61" t="str">
        <f t="shared" si="2"/>
        <v>09</v>
      </c>
      <c r="CZ3" s="61" t="str">
        <f t="shared" si="2"/>
        <v>09</v>
      </c>
      <c r="DA3" s="61" t="str">
        <f t="shared" si="2"/>
        <v/>
      </c>
      <c r="DB3" s="61" t="str">
        <f t="shared" si="2"/>
        <v>09</v>
      </c>
      <c r="DC3" s="61" t="str">
        <f t="shared" si="2"/>
        <v>09</v>
      </c>
      <c r="DD3" s="61" t="str">
        <f t="shared" si="2"/>
        <v>09</v>
      </c>
      <c r="DE3" s="61" t="str">
        <f t="shared" si="2"/>
        <v>09</v>
      </c>
      <c r="DF3" s="61" t="str">
        <f t="shared" si="2"/>
        <v>09</v>
      </c>
      <c r="DG3" s="61" t="str">
        <f t="shared" si="2"/>
        <v>09</v>
      </c>
      <c r="DH3" s="61" t="str">
        <f t="shared" si="2"/>
        <v>09</v>
      </c>
      <c r="DI3" s="61" t="str">
        <f t="shared" si="2"/>
        <v>09</v>
      </c>
      <c r="DJ3" s="61" t="str">
        <f t="shared" si="2"/>
        <v>09</v>
      </c>
      <c r="DK3" s="61" t="str">
        <f t="shared" si="2"/>
        <v>09</v>
      </c>
      <c r="DL3" s="61" t="str">
        <f t="shared" si="2"/>
        <v/>
      </c>
      <c r="DM3" s="61" t="str">
        <f t="shared" si="2"/>
        <v>09</v>
      </c>
      <c r="DN3" s="61" t="str">
        <f t="shared" si="2"/>
        <v>09</v>
      </c>
      <c r="DO3" s="61" t="str">
        <f t="shared" ref="DO3:EQ3" si="3">IF(COUNTA(DO4:DO65536)=0,"","09")</f>
        <v/>
      </c>
      <c r="DP3" s="61" t="str">
        <f t="shared" si="3"/>
        <v>09</v>
      </c>
      <c r="DQ3" s="61" t="str">
        <f t="shared" si="3"/>
        <v>09</v>
      </c>
      <c r="DR3" s="61" t="str">
        <f t="shared" si="3"/>
        <v>09</v>
      </c>
      <c r="DS3" s="61" t="str">
        <f t="shared" si="3"/>
        <v>09</v>
      </c>
      <c r="DT3" s="61" t="str">
        <f t="shared" si="3"/>
        <v>09</v>
      </c>
      <c r="DU3" s="61" t="str">
        <f t="shared" si="3"/>
        <v>09</v>
      </c>
      <c r="DV3" s="61" t="str">
        <f t="shared" si="3"/>
        <v>09</v>
      </c>
      <c r="DW3" s="61" t="str">
        <f t="shared" si="3"/>
        <v/>
      </c>
      <c r="DX3" s="61" t="str">
        <f t="shared" si="3"/>
        <v>09</v>
      </c>
      <c r="DY3" s="61" t="str">
        <f t="shared" si="3"/>
        <v>09</v>
      </c>
      <c r="DZ3" s="61" t="str">
        <f t="shared" si="3"/>
        <v>09</v>
      </c>
      <c r="EA3" s="61" t="str">
        <f t="shared" si="3"/>
        <v>09</v>
      </c>
      <c r="EB3" s="61" t="str">
        <f t="shared" si="3"/>
        <v>09</v>
      </c>
      <c r="EC3" s="61" t="str">
        <f t="shared" si="3"/>
        <v>09</v>
      </c>
      <c r="ED3" s="61" t="str">
        <f t="shared" si="3"/>
        <v>09</v>
      </c>
      <c r="EE3" s="61" t="str">
        <f t="shared" si="3"/>
        <v>09</v>
      </c>
      <c r="EF3" s="61" t="str">
        <f t="shared" si="3"/>
        <v>09</v>
      </c>
      <c r="EG3" s="61" t="str">
        <f t="shared" si="3"/>
        <v>09</v>
      </c>
      <c r="EH3" s="61" t="str">
        <f t="shared" si="3"/>
        <v>09</v>
      </c>
      <c r="EI3" s="61" t="str">
        <f t="shared" si="3"/>
        <v>09</v>
      </c>
      <c r="EJ3" s="61" t="str">
        <f t="shared" si="3"/>
        <v/>
      </c>
      <c r="EK3" s="61" t="str">
        <f t="shared" si="3"/>
        <v>09</v>
      </c>
      <c r="EL3" s="61" t="str">
        <f t="shared" si="3"/>
        <v>09</v>
      </c>
      <c r="EM3" s="61" t="str">
        <f t="shared" si="3"/>
        <v>09</v>
      </c>
      <c r="EN3" s="61" t="str">
        <f t="shared" si="3"/>
        <v>09</v>
      </c>
      <c r="EO3" s="61" t="str">
        <f t="shared" si="3"/>
        <v>09</v>
      </c>
      <c r="EP3" s="61" t="str">
        <f t="shared" si="3"/>
        <v>09</v>
      </c>
      <c r="EQ3" s="61" t="str">
        <f t="shared" si="3"/>
        <v>09</v>
      </c>
      <c r="ER3" s="61" t="str">
        <f t="shared" ref="ER3:HC3" si="4">IF(COUNTA(ER4:ER65536)=0,"","09")</f>
        <v>09</v>
      </c>
      <c r="ES3" s="61" t="str">
        <f t="shared" si="4"/>
        <v/>
      </c>
      <c r="ET3" s="61" t="str">
        <f t="shared" si="4"/>
        <v>09</v>
      </c>
      <c r="EU3" s="61" t="str">
        <f t="shared" si="4"/>
        <v>09</v>
      </c>
      <c r="EV3" s="61" t="str">
        <f t="shared" si="4"/>
        <v/>
      </c>
      <c r="EW3" s="61" t="str">
        <f t="shared" si="4"/>
        <v>09</v>
      </c>
      <c r="EX3" s="61" t="str">
        <f t="shared" si="4"/>
        <v/>
      </c>
      <c r="EY3" s="61" t="str">
        <f t="shared" si="4"/>
        <v>09</v>
      </c>
      <c r="EZ3" s="61" t="str">
        <f t="shared" si="4"/>
        <v/>
      </c>
      <c r="FA3" s="61" t="str">
        <f t="shared" si="4"/>
        <v>09</v>
      </c>
      <c r="FB3" s="61" t="str">
        <f t="shared" si="4"/>
        <v>09</v>
      </c>
      <c r="FC3" s="61" t="str">
        <f t="shared" si="4"/>
        <v/>
      </c>
      <c r="FD3" s="61" t="str">
        <f t="shared" si="4"/>
        <v>09</v>
      </c>
      <c r="FE3" s="61" t="str">
        <f t="shared" si="4"/>
        <v>09</v>
      </c>
      <c r="FF3" s="61" t="str">
        <f t="shared" si="4"/>
        <v>09</v>
      </c>
      <c r="FG3" s="61" t="str">
        <f t="shared" si="4"/>
        <v>09</v>
      </c>
      <c r="FH3" s="61" t="str">
        <f t="shared" si="4"/>
        <v/>
      </c>
      <c r="FI3" s="61" t="str">
        <f t="shared" si="4"/>
        <v>09</v>
      </c>
      <c r="FJ3" s="61" t="str">
        <f t="shared" si="4"/>
        <v>09</v>
      </c>
      <c r="FK3" s="61" t="str">
        <f t="shared" si="4"/>
        <v>09</v>
      </c>
      <c r="FL3" s="61" t="str">
        <f t="shared" si="4"/>
        <v>09</v>
      </c>
      <c r="FM3" s="61" t="str">
        <f t="shared" si="4"/>
        <v/>
      </c>
      <c r="FN3" s="61" t="str">
        <f t="shared" si="4"/>
        <v/>
      </c>
      <c r="FO3" s="61" t="str">
        <f t="shared" si="4"/>
        <v/>
      </c>
      <c r="FP3" s="61" t="str">
        <f t="shared" si="4"/>
        <v/>
      </c>
      <c r="FQ3" s="61" t="str">
        <f t="shared" si="4"/>
        <v/>
      </c>
      <c r="FR3" s="61" t="str">
        <f t="shared" si="4"/>
        <v/>
      </c>
      <c r="FS3" s="61" t="str">
        <f t="shared" si="4"/>
        <v/>
      </c>
      <c r="FT3" s="61" t="str">
        <f t="shared" si="4"/>
        <v/>
      </c>
      <c r="FU3" s="61" t="str">
        <f t="shared" si="4"/>
        <v/>
      </c>
      <c r="FV3" s="61" t="str">
        <f t="shared" si="4"/>
        <v/>
      </c>
      <c r="FW3" s="61" t="str">
        <f t="shared" si="4"/>
        <v/>
      </c>
      <c r="FX3" s="61" t="str">
        <f t="shared" si="4"/>
        <v/>
      </c>
      <c r="FY3" s="61" t="str">
        <f t="shared" si="4"/>
        <v/>
      </c>
      <c r="FZ3" s="61" t="str">
        <f t="shared" si="4"/>
        <v/>
      </c>
      <c r="GA3" s="61" t="str">
        <f t="shared" si="4"/>
        <v/>
      </c>
      <c r="GB3" s="61" t="str">
        <f t="shared" si="4"/>
        <v/>
      </c>
      <c r="GC3" s="61" t="str">
        <f t="shared" si="4"/>
        <v/>
      </c>
      <c r="GD3" s="61" t="str">
        <f t="shared" si="4"/>
        <v/>
      </c>
      <c r="GE3" s="61" t="str">
        <f t="shared" si="4"/>
        <v/>
      </c>
      <c r="GF3" s="61" t="str">
        <f t="shared" si="4"/>
        <v/>
      </c>
      <c r="GG3" s="61" t="str">
        <f t="shared" si="4"/>
        <v/>
      </c>
      <c r="GH3" s="61" t="str">
        <f t="shared" si="4"/>
        <v/>
      </c>
      <c r="GI3" s="61" t="str">
        <f t="shared" si="4"/>
        <v/>
      </c>
      <c r="GJ3" s="61" t="str">
        <f t="shared" si="4"/>
        <v/>
      </c>
      <c r="GK3" s="61" t="str">
        <f t="shared" si="4"/>
        <v/>
      </c>
      <c r="GL3" s="61" t="str">
        <f t="shared" si="4"/>
        <v/>
      </c>
      <c r="GM3" s="61" t="str">
        <f t="shared" si="4"/>
        <v/>
      </c>
      <c r="GN3" s="61" t="str">
        <f t="shared" si="4"/>
        <v/>
      </c>
      <c r="GO3" s="61" t="str">
        <f t="shared" si="4"/>
        <v/>
      </c>
      <c r="GP3" s="61" t="str">
        <f t="shared" si="4"/>
        <v/>
      </c>
      <c r="GQ3" s="61" t="str">
        <f t="shared" si="4"/>
        <v/>
      </c>
      <c r="GR3" s="61" t="str">
        <f t="shared" si="4"/>
        <v/>
      </c>
      <c r="GS3" s="61" t="str">
        <f t="shared" si="4"/>
        <v/>
      </c>
      <c r="GT3" s="61" t="str">
        <f t="shared" si="4"/>
        <v/>
      </c>
      <c r="GU3" s="61" t="str">
        <f t="shared" si="4"/>
        <v/>
      </c>
      <c r="GV3" s="61" t="str">
        <f t="shared" si="4"/>
        <v/>
      </c>
      <c r="GW3" s="61" t="str">
        <f t="shared" si="4"/>
        <v/>
      </c>
      <c r="GX3" s="61" t="str">
        <f t="shared" si="4"/>
        <v/>
      </c>
      <c r="GY3" s="61" t="str">
        <f t="shared" si="4"/>
        <v/>
      </c>
      <c r="GZ3" s="61" t="str">
        <f t="shared" si="4"/>
        <v/>
      </c>
      <c r="HA3" s="61" t="str">
        <f t="shared" si="4"/>
        <v/>
      </c>
      <c r="HB3" s="61" t="str">
        <f t="shared" si="4"/>
        <v/>
      </c>
      <c r="HC3" s="61" t="str">
        <f t="shared" si="4"/>
        <v/>
      </c>
      <c r="HD3" s="61" t="str">
        <f t="shared" ref="HD3:IM3" si="5">IF(COUNTA(HD4:HD65536)=0,"","09")</f>
        <v/>
      </c>
      <c r="HE3" s="61" t="str">
        <f t="shared" si="5"/>
        <v/>
      </c>
      <c r="HF3" s="61" t="str">
        <f t="shared" si="5"/>
        <v/>
      </c>
      <c r="HG3" s="61" t="str">
        <f t="shared" si="5"/>
        <v/>
      </c>
      <c r="HH3" s="61" t="str">
        <f t="shared" si="5"/>
        <v/>
      </c>
      <c r="HI3" s="61" t="str">
        <f t="shared" si="5"/>
        <v/>
      </c>
      <c r="HJ3" s="61" t="str">
        <f t="shared" si="5"/>
        <v/>
      </c>
      <c r="HK3" s="61" t="str">
        <f t="shared" si="5"/>
        <v/>
      </c>
      <c r="HL3" s="61" t="str">
        <f t="shared" si="5"/>
        <v/>
      </c>
      <c r="HM3" s="61" t="str">
        <f t="shared" si="5"/>
        <v/>
      </c>
      <c r="HN3" s="61" t="str">
        <f t="shared" si="5"/>
        <v/>
      </c>
      <c r="HO3" s="61" t="str">
        <f t="shared" si="5"/>
        <v/>
      </c>
      <c r="HP3" s="61" t="str">
        <f t="shared" si="5"/>
        <v/>
      </c>
      <c r="HQ3" s="61" t="str">
        <f t="shared" si="5"/>
        <v/>
      </c>
      <c r="HR3" s="61" t="str">
        <f t="shared" si="5"/>
        <v/>
      </c>
      <c r="HS3" s="61" t="str">
        <f t="shared" si="5"/>
        <v/>
      </c>
      <c r="HT3" s="61" t="str">
        <f t="shared" si="5"/>
        <v/>
      </c>
      <c r="HU3" s="61" t="str">
        <f t="shared" si="5"/>
        <v/>
      </c>
      <c r="HV3" s="61" t="str">
        <f t="shared" si="5"/>
        <v/>
      </c>
      <c r="HW3" s="61" t="str">
        <f t="shared" si="5"/>
        <v/>
      </c>
      <c r="HX3" s="61" t="str">
        <f t="shared" si="5"/>
        <v/>
      </c>
      <c r="HY3" s="61" t="str">
        <f t="shared" si="5"/>
        <v/>
      </c>
      <c r="HZ3" s="61" t="str">
        <f t="shared" si="5"/>
        <v/>
      </c>
      <c r="IA3" s="61" t="str">
        <f t="shared" si="5"/>
        <v/>
      </c>
      <c r="IB3" s="61" t="str">
        <f t="shared" si="5"/>
        <v/>
      </c>
      <c r="IC3" s="61" t="str">
        <f t="shared" si="5"/>
        <v/>
      </c>
      <c r="ID3" s="61" t="str">
        <f t="shared" si="5"/>
        <v/>
      </c>
      <c r="IE3" s="61" t="str">
        <f t="shared" si="5"/>
        <v/>
      </c>
      <c r="IF3" s="61" t="str">
        <f t="shared" si="5"/>
        <v/>
      </c>
      <c r="IG3" s="61" t="str">
        <f t="shared" si="5"/>
        <v/>
      </c>
      <c r="IH3" s="61" t="str">
        <f t="shared" si="5"/>
        <v/>
      </c>
      <c r="II3" s="61" t="str">
        <f t="shared" si="5"/>
        <v/>
      </c>
      <c r="IJ3" s="61" t="str">
        <f t="shared" si="5"/>
        <v/>
      </c>
      <c r="IK3" s="61" t="str">
        <f t="shared" si="5"/>
        <v/>
      </c>
      <c r="IL3" s="61" t="str">
        <f t="shared" si="5"/>
        <v/>
      </c>
      <c r="IM3" s="61" t="str">
        <f t="shared" si="5"/>
        <v/>
      </c>
    </row>
    <row r="4" spans="1:247" x14ac:dyDescent="0.2">
      <c r="A4" s="1" t="s">
        <v>1208</v>
      </c>
      <c r="B4" s="1" t="s">
        <v>55</v>
      </c>
      <c r="C4" s="1" t="s">
        <v>1209</v>
      </c>
      <c r="D4" s="1" t="s">
        <v>2</v>
      </c>
      <c r="E4" s="1">
        <v>13</v>
      </c>
      <c r="F4" s="1" t="s">
        <v>1210</v>
      </c>
      <c r="H4" s="1" t="s">
        <v>1211</v>
      </c>
      <c r="I4" s="1" t="s">
        <v>7</v>
      </c>
      <c r="J4" s="1" t="s">
        <v>1212</v>
      </c>
      <c r="K4" s="1" t="s">
        <v>1213</v>
      </c>
      <c r="L4" s="1" t="s">
        <v>1212</v>
      </c>
      <c r="O4" s="1">
        <v>5</v>
      </c>
      <c r="Q4" s="1">
        <v>2007</v>
      </c>
      <c r="R4" s="1" t="s">
        <v>1214</v>
      </c>
      <c r="S4" s="1" t="s">
        <v>27</v>
      </c>
      <c r="T4" s="6">
        <v>1</v>
      </c>
      <c r="V4" s="1">
        <v>457.9</v>
      </c>
      <c r="Z4" s="1">
        <v>75.680000000000007</v>
      </c>
      <c r="AA4" s="1">
        <v>6.25</v>
      </c>
      <c r="AC4" s="1">
        <v>16.8</v>
      </c>
      <c r="AI4" s="1">
        <v>5.7</v>
      </c>
      <c r="AK4" s="1">
        <v>1.6116699999999999</v>
      </c>
      <c r="AL4" s="1">
        <v>1.52145</v>
      </c>
      <c r="AM4" s="1">
        <v>1.78807</v>
      </c>
      <c r="AV4" s="1">
        <v>1</v>
      </c>
      <c r="AY4" s="1">
        <v>4.665</v>
      </c>
      <c r="BD4" s="1">
        <v>3.5999999999999997E-2</v>
      </c>
      <c r="BF4" s="1">
        <v>0.54200000000000004</v>
      </c>
      <c r="BH4" s="1">
        <v>301.44299999999998</v>
      </c>
      <c r="BJ4" s="1">
        <v>23.785</v>
      </c>
      <c r="BK4" s="1">
        <v>1.0999999999999999E-2</v>
      </c>
      <c r="BM4" s="1">
        <v>40.634</v>
      </c>
      <c r="BP4" s="1">
        <v>180</v>
      </c>
      <c r="BW4" s="1">
        <v>1.0740000000000001</v>
      </c>
      <c r="DR4" s="1">
        <v>7170</v>
      </c>
      <c r="DS4" s="1">
        <v>14390</v>
      </c>
      <c r="DT4" s="1">
        <v>7220</v>
      </c>
      <c r="DU4" s="1">
        <v>900</v>
      </c>
      <c r="DV4" s="1">
        <v>940</v>
      </c>
      <c r="DX4" s="1">
        <v>1510</v>
      </c>
      <c r="EA4" s="1">
        <v>2220</v>
      </c>
      <c r="EB4" s="1">
        <v>730</v>
      </c>
      <c r="EC4" s="1">
        <v>390</v>
      </c>
      <c r="EF4" s="54">
        <v>640</v>
      </c>
      <c r="EG4" s="54">
        <v>1270</v>
      </c>
      <c r="EH4" s="54">
        <v>1490</v>
      </c>
      <c r="EI4" s="54">
        <v>350</v>
      </c>
      <c r="EJ4" s="54"/>
      <c r="EK4" s="54">
        <v>680</v>
      </c>
      <c r="EL4" s="54">
        <v>750</v>
      </c>
      <c r="EM4" s="54">
        <v>560</v>
      </c>
      <c r="EN4" s="54"/>
      <c r="EO4" s="54">
        <v>630</v>
      </c>
      <c r="EP4" s="54"/>
      <c r="EQ4" s="54">
        <v>560</v>
      </c>
      <c r="ER4" s="54">
        <v>790</v>
      </c>
      <c r="ES4" s="54"/>
      <c r="EW4" s="1">
        <v>11.04</v>
      </c>
    </row>
    <row r="5" spans="1:247" x14ac:dyDescent="0.2">
      <c r="A5" s="1" t="s">
        <v>1215</v>
      </c>
      <c r="B5" s="1" t="s">
        <v>55</v>
      </c>
      <c r="C5" s="1" t="s">
        <v>1209</v>
      </c>
      <c r="D5" s="1" t="s">
        <v>2</v>
      </c>
      <c r="E5" s="1">
        <v>13</v>
      </c>
      <c r="F5" s="1" t="s">
        <v>1210</v>
      </c>
      <c r="H5" s="1" t="s">
        <v>1216</v>
      </c>
      <c r="I5" s="1" t="s">
        <v>11</v>
      </c>
      <c r="J5" s="1" t="s">
        <v>1212</v>
      </c>
      <c r="K5" s="1" t="s">
        <v>1213</v>
      </c>
      <c r="L5" s="1" t="s">
        <v>1212</v>
      </c>
      <c r="N5" s="1" t="s">
        <v>1217</v>
      </c>
      <c r="O5" s="1">
        <v>5</v>
      </c>
      <c r="Q5" s="1">
        <v>2007</v>
      </c>
      <c r="R5" s="1" t="s">
        <v>1214</v>
      </c>
      <c r="S5" s="1" t="s">
        <v>27</v>
      </c>
      <c r="T5" s="6">
        <v>1</v>
      </c>
      <c r="V5" s="1">
        <v>600.34</v>
      </c>
      <c r="Z5" s="1">
        <v>71.08</v>
      </c>
      <c r="AA5" s="1">
        <v>6.25</v>
      </c>
      <c r="AC5" s="1">
        <v>21.14</v>
      </c>
      <c r="AI5" s="1">
        <v>5.9</v>
      </c>
      <c r="AK5" s="1">
        <v>1.6909700000000001</v>
      </c>
      <c r="AL5" s="1">
        <v>1.52946</v>
      </c>
      <c r="AM5" s="1">
        <v>1.8943700000000001</v>
      </c>
      <c r="AV5" s="1">
        <v>1.2</v>
      </c>
      <c r="AY5" s="1">
        <v>6.7679999999999998</v>
      </c>
      <c r="BD5" s="1">
        <v>4.2999999999999997E-2</v>
      </c>
      <c r="BF5" s="1">
        <v>0.64200000000000002</v>
      </c>
      <c r="BH5" s="1">
        <v>357.03800000000001</v>
      </c>
      <c r="BJ5" s="1">
        <v>30.33</v>
      </c>
      <c r="BK5" s="1">
        <v>1.6E-2</v>
      </c>
      <c r="BM5" s="1">
        <v>165.60599999999999</v>
      </c>
      <c r="BP5" s="1">
        <v>190</v>
      </c>
      <c r="BW5" s="1">
        <v>1.0329999999999999</v>
      </c>
      <c r="DR5" s="1">
        <v>9750</v>
      </c>
      <c r="DS5" s="1">
        <v>19690</v>
      </c>
      <c r="DT5" s="1">
        <v>9950</v>
      </c>
      <c r="DU5" s="1">
        <v>1290</v>
      </c>
      <c r="DV5" s="1">
        <v>1300</v>
      </c>
      <c r="DX5" s="1">
        <v>2070</v>
      </c>
      <c r="EA5" s="1">
        <v>2970</v>
      </c>
      <c r="EB5" s="1">
        <v>1040</v>
      </c>
      <c r="EC5" s="1">
        <v>530</v>
      </c>
      <c r="EF5" s="54">
        <v>880</v>
      </c>
      <c r="EG5" s="54">
        <v>1720</v>
      </c>
      <c r="EH5" s="54">
        <v>1960</v>
      </c>
      <c r="EI5" s="54">
        <v>480</v>
      </c>
      <c r="EJ5" s="54"/>
      <c r="EK5" s="54">
        <v>930</v>
      </c>
      <c r="EL5" s="54">
        <v>1040</v>
      </c>
      <c r="EM5" s="54">
        <v>770</v>
      </c>
      <c r="EN5" s="54"/>
      <c r="EO5" s="54">
        <v>860</v>
      </c>
      <c r="EP5" s="54"/>
      <c r="EQ5" s="54">
        <v>760</v>
      </c>
      <c r="ER5" s="54">
        <v>1090</v>
      </c>
      <c r="ES5" s="54"/>
      <c r="EW5" s="1">
        <v>14.23</v>
      </c>
    </row>
    <row r="6" spans="1:247" x14ac:dyDescent="0.2">
      <c r="A6" s="1" t="s">
        <v>1218</v>
      </c>
      <c r="B6" s="1" t="s">
        <v>55</v>
      </c>
      <c r="C6" s="1" t="s">
        <v>1209</v>
      </c>
      <c r="D6" s="1" t="s">
        <v>2</v>
      </c>
      <c r="E6" s="1">
        <v>13</v>
      </c>
      <c r="F6" s="1" t="s">
        <v>1210</v>
      </c>
      <c r="H6" s="1" t="s">
        <v>1219</v>
      </c>
      <c r="I6" s="1" t="s">
        <v>11</v>
      </c>
      <c r="J6" s="1" t="s">
        <v>1212</v>
      </c>
      <c r="K6" s="1" t="s">
        <v>1213</v>
      </c>
      <c r="L6" s="1" t="s">
        <v>1212</v>
      </c>
      <c r="N6" s="1" t="s">
        <v>1220</v>
      </c>
      <c r="O6" s="1">
        <v>5</v>
      </c>
      <c r="Q6" s="1">
        <v>2007</v>
      </c>
      <c r="R6" s="1" t="s">
        <v>1214</v>
      </c>
      <c r="S6" s="1" t="s">
        <v>27</v>
      </c>
      <c r="T6" s="6">
        <v>1</v>
      </c>
      <c r="V6" s="1" t="s">
        <v>1221</v>
      </c>
      <c r="Z6" s="1" t="s">
        <v>1222</v>
      </c>
      <c r="AA6" s="1">
        <v>6.25</v>
      </c>
      <c r="AC6" s="1" t="s">
        <v>1223</v>
      </c>
      <c r="AI6" s="1" t="s">
        <v>1224</v>
      </c>
      <c r="AK6" s="1">
        <v>2.1696399999999998</v>
      </c>
      <c r="AL6" s="1">
        <v>2.3936700000000002</v>
      </c>
      <c r="AM6" s="1">
        <v>3.8993799999999998</v>
      </c>
      <c r="AV6" s="1" t="s">
        <v>1225</v>
      </c>
      <c r="AY6" s="1">
        <v>11.096</v>
      </c>
      <c r="BD6" s="1">
        <v>4.5999999999999999E-2</v>
      </c>
      <c r="BF6" s="1">
        <v>0.90800000000000003</v>
      </c>
      <c r="BH6" s="1">
        <v>437.11200000000002</v>
      </c>
      <c r="BJ6" s="1">
        <v>32.475999999999999</v>
      </c>
      <c r="BK6" s="1">
        <v>4.1000000000000002E-2</v>
      </c>
      <c r="BM6" s="1">
        <v>384.38099999999997</v>
      </c>
      <c r="BP6" s="1">
        <v>250</v>
      </c>
      <c r="BW6" s="1">
        <v>1.103</v>
      </c>
      <c r="DR6" s="1" t="s">
        <v>1226</v>
      </c>
      <c r="DS6" s="1" t="s">
        <v>1227</v>
      </c>
      <c r="DT6" s="1" t="s">
        <v>1228</v>
      </c>
      <c r="DU6" s="1" t="s">
        <v>1229</v>
      </c>
      <c r="DV6" s="1" t="s">
        <v>1230</v>
      </c>
      <c r="DX6" s="1" t="s">
        <v>1231</v>
      </c>
      <c r="EA6" s="1" t="s">
        <v>1232</v>
      </c>
      <c r="EB6" s="1" t="s">
        <v>1233</v>
      </c>
      <c r="EC6" s="1" t="s">
        <v>1234</v>
      </c>
      <c r="EF6" s="54" t="s">
        <v>1235</v>
      </c>
      <c r="EG6" s="54" t="s">
        <v>1236</v>
      </c>
      <c r="EH6" s="54" t="s">
        <v>1237</v>
      </c>
      <c r="EI6" s="54" t="s">
        <v>1238</v>
      </c>
      <c r="EJ6" s="54"/>
      <c r="EK6" s="54" t="s">
        <v>1239</v>
      </c>
      <c r="EL6" s="54" t="s">
        <v>1240</v>
      </c>
      <c r="EM6" s="54" t="s">
        <v>1241</v>
      </c>
      <c r="EN6" s="54"/>
      <c r="EO6" s="54" t="s">
        <v>1242</v>
      </c>
      <c r="EP6" s="54"/>
      <c r="EQ6" s="54" t="s">
        <v>1243</v>
      </c>
      <c r="ER6" s="54" t="s">
        <v>1244</v>
      </c>
      <c r="ES6" s="54"/>
      <c r="EW6" s="1">
        <v>13.82</v>
      </c>
    </row>
    <row r="7" spans="1:247" x14ac:dyDescent="0.2">
      <c r="A7" s="1" t="s">
        <v>1245</v>
      </c>
      <c r="B7" s="1" t="s">
        <v>55</v>
      </c>
      <c r="C7" s="1" t="s">
        <v>1209</v>
      </c>
      <c r="D7" s="1" t="s">
        <v>2</v>
      </c>
      <c r="E7" s="1">
        <v>13</v>
      </c>
      <c r="F7" s="1" t="s">
        <v>1210</v>
      </c>
      <c r="H7" s="1" t="s">
        <v>1246</v>
      </c>
      <c r="I7" s="1" t="s">
        <v>11</v>
      </c>
      <c r="J7" s="1" t="s">
        <v>1212</v>
      </c>
      <c r="K7" s="1" t="s">
        <v>1213</v>
      </c>
      <c r="L7" s="1" t="s">
        <v>1212</v>
      </c>
      <c r="N7" s="1" t="s">
        <v>1247</v>
      </c>
      <c r="O7" s="1">
        <v>5</v>
      </c>
      <c r="Q7" s="1">
        <v>2007</v>
      </c>
      <c r="R7" s="1" t="s">
        <v>1214</v>
      </c>
      <c r="S7" s="1" t="s">
        <v>27</v>
      </c>
      <c r="T7" s="6">
        <v>1</v>
      </c>
      <c r="V7" s="1">
        <v>693.43</v>
      </c>
      <c r="Z7" s="1">
        <v>65.760000000000005</v>
      </c>
      <c r="AA7" s="1">
        <v>6.25</v>
      </c>
      <c r="AC7" s="1">
        <v>24.28</v>
      </c>
      <c r="AI7" s="1">
        <v>6.88</v>
      </c>
      <c r="AK7" s="1">
        <v>1.9800500000000001</v>
      </c>
      <c r="AL7" s="1">
        <v>1.73308</v>
      </c>
      <c r="AM7" s="1">
        <v>2.2125699999999999</v>
      </c>
      <c r="AV7" s="1">
        <v>2.62</v>
      </c>
      <c r="AY7" s="1">
        <v>6.6479999999999997</v>
      </c>
      <c r="BD7" s="1">
        <v>0.05</v>
      </c>
      <c r="BF7" s="1">
        <v>0.80800000000000005</v>
      </c>
      <c r="BH7" s="1">
        <v>506.35300000000001</v>
      </c>
      <c r="BJ7" s="1">
        <v>35.722000000000001</v>
      </c>
      <c r="BK7" s="1">
        <v>1.7999999999999999E-2</v>
      </c>
      <c r="BM7" s="1">
        <v>458.34</v>
      </c>
      <c r="BP7" s="1">
        <v>260</v>
      </c>
      <c r="BW7" s="1">
        <v>1.177</v>
      </c>
      <c r="DR7" s="1">
        <v>11620</v>
      </c>
      <c r="DS7" s="1">
        <v>23660</v>
      </c>
      <c r="DT7" s="1">
        <v>12040</v>
      </c>
      <c r="DU7" s="1">
        <v>1540</v>
      </c>
      <c r="DV7" s="1">
        <v>1550</v>
      </c>
      <c r="DX7" s="1">
        <v>2500</v>
      </c>
      <c r="EA7" s="1">
        <v>3640</v>
      </c>
      <c r="EB7" s="1">
        <v>1260</v>
      </c>
      <c r="EC7" s="1">
        <v>620</v>
      </c>
      <c r="EF7" s="54">
        <v>1014</v>
      </c>
      <c r="EG7" s="54">
        <v>2080</v>
      </c>
      <c r="EH7" s="54">
        <v>2390</v>
      </c>
      <c r="EI7" s="54">
        <v>520</v>
      </c>
      <c r="EJ7" s="54"/>
      <c r="EK7" s="54">
        <v>1080</v>
      </c>
      <c r="EL7" s="54">
        <v>1270</v>
      </c>
      <c r="EM7" s="54">
        <v>930</v>
      </c>
      <c r="EN7" s="54"/>
      <c r="EO7" s="54">
        <v>1030</v>
      </c>
      <c r="EP7" s="54"/>
      <c r="EQ7" s="54">
        <v>900</v>
      </c>
      <c r="ER7" s="54">
        <v>1310</v>
      </c>
      <c r="ES7" s="54"/>
      <c r="EW7" s="1">
        <v>19.84</v>
      </c>
    </row>
    <row r="8" spans="1:247" x14ac:dyDescent="0.2">
      <c r="A8" s="1" t="s">
        <v>1248</v>
      </c>
      <c r="B8" s="1" t="s">
        <v>55</v>
      </c>
      <c r="C8" s="1" t="s">
        <v>1249</v>
      </c>
      <c r="E8" s="1">
        <v>37</v>
      </c>
      <c r="F8" s="1" t="s">
        <v>1250</v>
      </c>
      <c r="H8" s="1" t="s">
        <v>1251</v>
      </c>
      <c r="I8" s="1" t="s">
        <v>7</v>
      </c>
      <c r="J8" s="1" t="s">
        <v>1252</v>
      </c>
      <c r="K8" s="1" t="s">
        <v>1253</v>
      </c>
      <c r="L8" s="1" t="s">
        <v>1252</v>
      </c>
      <c r="O8" s="1">
        <v>1</v>
      </c>
      <c r="Q8" s="1">
        <v>2010</v>
      </c>
      <c r="R8" s="1" t="s">
        <v>1254</v>
      </c>
      <c r="S8" s="1" t="s">
        <v>27</v>
      </c>
      <c r="T8" s="6">
        <v>1</v>
      </c>
      <c r="Z8" s="1">
        <v>65.98</v>
      </c>
      <c r="AA8" s="1">
        <v>6.25</v>
      </c>
      <c r="AC8" s="1">
        <v>18.55</v>
      </c>
      <c r="AH8" s="1">
        <v>14.46</v>
      </c>
      <c r="AQ8" s="1">
        <v>0.53</v>
      </c>
      <c r="AV8" s="1">
        <v>1.91</v>
      </c>
      <c r="CK8" s="1">
        <v>141.01</v>
      </c>
      <c r="CV8" s="1">
        <v>0.77300000000000002</v>
      </c>
      <c r="CZ8" s="1">
        <v>0.21</v>
      </c>
      <c r="DB8" s="1">
        <v>0.14399999999999999</v>
      </c>
      <c r="DC8" s="1">
        <v>2.1360000000000001</v>
      </c>
      <c r="DF8" s="1">
        <v>0.39</v>
      </c>
      <c r="DR8" s="1">
        <v>4309.2669999999998</v>
      </c>
      <c r="DS8" s="1">
        <v>10928.257</v>
      </c>
      <c r="DT8" s="1">
        <v>6250.2610000000004</v>
      </c>
      <c r="DU8" s="1">
        <v>620.72900000000004</v>
      </c>
      <c r="DV8" s="1">
        <v>777.36500000000001</v>
      </c>
      <c r="DX8" s="1">
        <v>1041.6869999999999</v>
      </c>
      <c r="DY8" s="1">
        <v>92.837000000000003</v>
      </c>
      <c r="EA8" s="1">
        <v>1415.165</v>
      </c>
      <c r="EB8" s="1">
        <v>634.17899999999997</v>
      </c>
      <c r="EC8" s="1">
        <v>424.20400000000001</v>
      </c>
      <c r="EF8" s="54">
        <v>580.29899999999998</v>
      </c>
      <c r="EG8" s="54">
        <v>828.55600000000004</v>
      </c>
      <c r="EH8" s="54">
        <v>966.03800000000001</v>
      </c>
      <c r="EI8" s="54">
        <v>370.68799999999999</v>
      </c>
      <c r="EJ8" s="54"/>
      <c r="EK8" s="54">
        <v>466.02</v>
      </c>
      <c r="EL8" s="54">
        <v>407.91300000000001</v>
      </c>
      <c r="EM8" s="54">
        <v>419.72199999999998</v>
      </c>
      <c r="EN8" s="54"/>
      <c r="EO8" s="54">
        <v>444.01600000000002</v>
      </c>
      <c r="EP8" s="54"/>
      <c r="EQ8" s="54">
        <v>416.64299999999997</v>
      </c>
      <c r="ER8" s="54">
        <v>653.65099999999995</v>
      </c>
      <c r="ES8" s="54"/>
    </row>
    <row r="9" spans="1:247" x14ac:dyDescent="0.2">
      <c r="A9" s="1" t="s">
        <v>1255</v>
      </c>
      <c r="B9" s="1" t="s">
        <v>55</v>
      </c>
      <c r="C9" s="1" t="s">
        <v>1249</v>
      </c>
      <c r="E9" s="1">
        <v>37</v>
      </c>
      <c r="F9" s="1" t="s">
        <v>1250</v>
      </c>
      <c r="H9" s="1" t="s">
        <v>1256</v>
      </c>
      <c r="I9" s="1" t="s">
        <v>11</v>
      </c>
      <c r="J9" s="1" t="s">
        <v>1252</v>
      </c>
      <c r="K9" s="1" t="s">
        <v>1253</v>
      </c>
      <c r="L9" s="1" t="s">
        <v>1252</v>
      </c>
      <c r="N9" s="1" t="s">
        <v>1257</v>
      </c>
      <c r="O9" s="1">
        <v>1</v>
      </c>
      <c r="Q9" s="1">
        <v>2010</v>
      </c>
      <c r="R9" s="1" t="s">
        <v>1254</v>
      </c>
      <c r="S9" s="1" t="s">
        <v>27</v>
      </c>
      <c r="T9" s="6">
        <v>1</v>
      </c>
      <c r="Z9" s="1">
        <v>56.52</v>
      </c>
      <c r="AA9" s="1">
        <v>6.25</v>
      </c>
      <c r="AC9" s="1">
        <v>23.93</v>
      </c>
      <c r="AH9" s="1">
        <v>19.61</v>
      </c>
      <c r="AQ9" s="1">
        <v>1.02</v>
      </c>
      <c r="AV9" s="1">
        <v>2.4700000000000002</v>
      </c>
      <c r="CK9" s="1">
        <v>188.607</v>
      </c>
      <c r="CV9" s="1">
        <v>0.94099999999999995</v>
      </c>
      <c r="CZ9" s="1">
        <v>4.2000000000000003E-2</v>
      </c>
      <c r="DB9" s="1">
        <v>0.13600000000000001</v>
      </c>
      <c r="DC9" s="1">
        <v>4.2460000000000004</v>
      </c>
      <c r="DF9" s="1">
        <v>0.69</v>
      </c>
      <c r="DR9" s="1">
        <v>7297.741</v>
      </c>
      <c r="DS9" s="1">
        <v>17874.724999999999</v>
      </c>
      <c r="DT9" s="1">
        <v>10161.689</v>
      </c>
      <c r="DU9" s="1">
        <v>971.39300000000003</v>
      </c>
      <c r="DV9" s="1">
        <v>1294.9570000000001</v>
      </c>
      <c r="DX9" s="1">
        <v>1745.4929999999999</v>
      </c>
      <c r="DY9" s="1">
        <v>118.04600000000001</v>
      </c>
      <c r="EA9" s="1">
        <v>2485.848</v>
      </c>
      <c r="EB9" s="1">
        <v>956.46</v>
      </c>
      <c r="EC9" s="1">
        <v>686.64300000000003</v>
      </c>
      <c r="EF9" s="54">
        <v>997.34100000000001</v>
      </c>
      <c r="EG9" s="54">
        <v>1427.01</v>
      </c>
      <c r="EH9" s="54">
        <v>1620.8910000000001</v>
      </c>
      <c r="EI9" s="54">
        <v>608.14200000000005</v>
      </c>
      <c r="EJ9" s="54"/>
      <c r="EK9" s="54">
        <v>812.35900000000004</v>
      </c>
      <c r="EL9" s="54">
        <v>628.32799999999997</v>
      </c>
      <c r="EM9" s="54">
        <v>628.101</v>
      </c>
      <c r="EN9" s="54"/>
      <c r="EO9" s="54">
        <v>735.76700000000005</v>
      </c>
      <c r="EP9" s="54"/>
      <c r="EQ9" s="54">
        <v>646.39599999999996</v>
      </c>
      <c r="ER9" s="54">
        <v>1096.231</v>
      </c>
      <c r="ES9" s="54"/>
    </row>
    <row r="10" spans="1:247" x14ac:dyDescent="0.2">
      <c r="A10" s="1" t="s">
        <v>1258</v>
      </c>
      <c r="B10" s="1" t="s">
        <v>55</v>
      </c>
      <c r="C10" s="1" t="s">
        <v>1249</v>
      </c>
      <c r="E10" s="1">
        <v>37</v>
      </c>
      <c r="F10" s="1" t="s">
        <v>1250</v>
      </c>
      <c r="H10" s="1" t="s">
        <v>1259</v>
      </c>
      <c r="I10" s="1" t="s">
        <v>11</v>
      </c>
      <c r="J10" s="1" t="s">
        <v>1252</v>
      </c>
      <c r="K10" s="1" t="s">
        <v>1253</v>
      </c>
      <c r="L10" s="1" t="s">
        <v>1252</v>
      </c>
      <c r="N10" s="1" t="s">
        <v>1260</v>
      </c>
      <c r="O10" s="1">
        <v>1</v>
      </c>
      <c r="Q10" s="1">
        <v>2010</v>
      </c>
      <c r="R10" s="1" t="s">
        <v>1254</v>
      </c>
      <c r="S10" s="1" t="s">
        <v>27</v>
      </c>
      <c r="T10" s="6">
        <v>1</v>
      </c>
      <c r="Z10" s="1">
        <v>59.13</v>
      </c>
      <c r="AA10" s="1">
        <v>6.25</v>
      </c>
      <c r="AC10" s="1">
        <v>23.47</v>
      </c>
      <c r="AH10" s="1">
        <v>15.89</v>
      </c>
      <c r="AQ10" s="1">
        <v>1.64</v>
      </c>
      <c r="AV10" s="1">
        <v>2.4300000000000002</v>
      </c>
      <c r="CK10" s="1">
        <v>31.731999999999999</v>
      </c>
      <c r="CV10" s="1">
        <v>0.44900000000000001</v>
      </c>
      <c r="CZ10" s="1">
        <v>6.9000000000000006E-2</v>
      </c>
      <c r="DB10" s="1">
        <v>0.109</v>
      </c>
      <c r="DC10" s="1">
        <v>4.5069999999999997</v>
      </c>
      <c r="DF10" s="1">
        <v>0.59199999999999997</v>
      </c>
      <c r="DR10" s="1">
        <v>9250.4599999999991</v>
      </c>
      <c r="DS10" s="1">
        <v>22062.387999999999</v>
      </c>
      <c r="DT10" s="1">
        <v>12384.630999999999</v>
      </c>
      <c r="DU10" s="1">
        <v>1193.1559999999999</v>
      </c>
      <c r="DV10" s="1">
        <v>1476.4559999999999</v>
      </c>
      <c r="DX10" s="1">
        <v>2233.9169999999999</v>
      </c>
      <c r="DY10" s="1">
        <v>110.36</v>
      </c>
      <c r="EA10" s="1">
        <v>3105.145</v>
      </c>
      <c r="EB10" s="1">
        <v>1105.8209999999999</v>
      </c>
      <c r="EC10" s="1">
        <v>804.37</v>
      </c>
      <c r="EF10" s="54">
        <v>1261.855</v>
      </c>
      <c r="EG10" s="54">
        <v>1762.6079999999999</v>
      </c>
      <c r="EH10" s="54">
        <v>2128.1990000000001</v>
      </c>
      <c r="EI10" s="54">
        <v>795.40599999999995</v>
      </c>
      <c r="EJ10" s="54"/>
      <c r="EK10" s="54">
        <v>1004.442</v>
      </c>
      <c r="EL10" s="54">
        <v>780.24599999999998</v>
      </c>
      <c r="EM10" s="54">
        <v>765.56399999999996</v>
      </c>
      <c r="EN10" s="54"/>
      <c r="EO10" s="54">
        <v>915.21299999999997</v>
      </c>
      <c r="EP10" s="54"/>
      <c r="EQ10" s="54">
        <v>809.59900000000005</v>
      </c>
      <c r="ER10" s="54">
        <v>1382.739</v>
      </c>
      <c r="ES10" s="54"/>
    </row>
    <row r="11" spans="1:247" x14ac:dyDescent="0.2">
      <c r="A11" s="1" t="s">
        <v>1261</v>
      </c>
      <c r="B11" s="1" t="s">
        <v>55</v>
      </c>
      <c r="C11" s="1" t="s">
        <v>1249</v>
      </c>
      <c r="E11" s="1">
        <v>37</v>
      </c>
      <c r="F11" s="1" t="s">
        <v>1250</v>
      </c>
      <c r="H11" s="1" t="s">
        <v>1262</v>
      </c>
      <c r="I11" s="1" t="s">
        <v>11</v>
      </c>
      <c r="J11" s="1" t="s">
        <v>1252</v>
      </c>
      <c r="K11" s="1" t="s">
        <v>1253</v>
      </c>
      <c r="L11" s="1" t="s">
        <v>1252</v>
      </c>
      <c r="N11" s="1" t="s">
        <v>1263</v>
      </c>
      <c r="O11" s="1">
        <v>1</v>
      </c>
      <c r="Q11" s="1">
        <v>2010</v>
      </c>
      <c r="R11" s="1" t="s">
        <v>1254</v>
      </c>
      <c r="S11" s="1" t="s">
        <v>27</v>
      </c>
      <c r="T11" s="6">
        <v>1</v>
      </c>
      <c r="Z11" s="1">
        <v>61.54</v>
      </c>
      <c r="AA11" s="1">
        <v>6.25</v>
      </c>
      <c r="AC11" s="1">
        <v>20.79</v>
      </c>
      <c r="AH11" s="1">
        <v>13.44</v>
      </c>
      <c r="AQ11" s="1">
        <v>4.3600000000000003</v>
      </c>
      <c r="AV11" s="1">
        <v>1.7</v>
      </c>
      <c r="CK11" s="1">
        <v>31.977</v>
      </c>
      <c r="CV11" s="1">
        <v>0.34799999999999998</v>
      </c>
      <c r="CZ11" s="1">
        <v>9.7000000000000003E-2</v>
      </c>
      <c r="DB11" s="1">
        <v>7.8E-2</v>
      </c>
      <c r="DC11" s="1">
        <v>3.5070000000000001</v>
      </c>
      <c r="DF11" s="1">
        <v>0.378</v>
      </c>
      <c r="DR11" s="1">
        <v>7212.7240000000002</v>
      </c>
      <c r="DS11" s="1">
        <v>17318.837</v>
      </c>
      <c r="DT11" s="1">
        <v>9693.3289999999997</v>
      </c>
      <c r="DU11" s="1">
        <v>1065.8009999999999</v>
      </c>
      <c r="DV11" s="1">
        <v>1197.329</v>
      </c>
      <c r="DX11" s="1">
        <v>1774.277</v>
      </c>
      <c r="DY11" s="1">
        <v>109.339</v>
      </c>
      <c r="EA11" s="1">
        <v>2228.0459999999998</v>
      </c>
      <c r="EB11" s="1">
        <v>816.48699999999997</v>
      </c>
      <c r="EC11" s="1">
        <v>665.721</v>
      </c>
      <c r="EF11" s="54">
        <v>1000.917</v>
      </c>
      <c r="EG11" s="54">
        <v>1386.248</v>
      </c>
      <c r="EH11" s="54">
        <v>1611.954</v>
      </c>
      <c r="EI11" s="54">
        <v>605.21299999999997</v>
      </c>
      <c r="EJ11" s="54"/>
      <c r="EK11" s="54">
        <v>787.72</v>
      </c>
      <c r="EL11" s="54">
        <v>585.10900000000004</v>
      </c>
      <c r="EM11" s="54">
        <v>565.35199999999998</v>
      </c>
      <c r="EN11" s="54"/>
      <c r="EO11" s="54">
        <v>715.13300000000004</v>
      </c>
      <c r="EP11" s="54"/>
      <c r="EQ11" s="54">
        <v>685.87099999999998</v>
      </c>
      <c r="ER11" s="54">
        <v>1108.5409999999999</v>
      </c>
      <c r="ES11" s="54"/>
    </row>
    <row r="12" spans="1:247" x14ac:dyDescent="0.2">
      <c r="A12" s="1" t="s">
        <v>1264</v>
      </c>
      <c r="B12" s="1" t="s">
        <v>55</v>
      </c>
      <c r="C12" s="1" t="s">
        <v>1265</v>
      </c>
      <c r="D12" s="1" t="s">
        <v>2</v>
      </c>
      <c r="E12" s="1">
        <v>13</v>
      </c>
      <c r="F12" s="1" t="s">
        <v>1266</v>
      </c>
      <c r="H12" s="1" t="s">
        <v>1267</v>
      </c>
      <c r="I12" s="1" t="s">
        <v>7</v>
      </c>
      <c r="J12" s="1" t="s">
        <v>1268</v>
      </c>
      <c r="K12" s="1" t="s">
        <v>1269</v>
      </c>
      <c r="L12" s="1" t="s">
        <v>1268</v>
      </c>
      <c r="P12" s="1" t="s">
        <v>1270</v>
      </c>
      <c r="Q12" s="1">
        <v>2009</v>
      </c>
      <c r="R12" s="1" t="s">
        <v>1271</v>
      </c>
      <c r="S12" s="1" t="s">
        <v>27</v>
      </c>
      <c r="T12" s="6">
        <v>1</v>
      </c>
      <c r="AH12" s="1">
        <v>2.5499999999999998</v>
      </c>
      <c r="AK12" s="1">
        <v>0.95327074499999997</v>
      </c>
      <c r="AL12" s="1">
        <v>0.77572043499999999</v>
      </c>
      <c r="AM12" s="1">
        <v>0.39557493500000002</v>
      </c>
      <c r="AN12" s="1">
        <v>0.11158388499999999</v>
      </c>
    </row>
    <row r="13" spans="1:247" x14ac:dyDescent="0.2">
      <c r="A13" s="1" t="s">
        <v>1272</v>
      </c>
      <c r="B13" s="1" t="s">
        <v>55</v>
      </c>
      <c r="C13" s="1" t="s">
        <v>1273</v>
      </c>
      <c r="D13" s="1" t="s">
        <v>2</v>
      </c>
      <c r="E13" s="1">
        <v>23</v>
      </c>
      <c r="F13" s="1" t="s">
        <v>1274</v>
      </c>
      <c r="H13" s="1" t="s">
        <v>1275</v>
      </c>
      <c r="I13" s="1" t="s">
        <v>7</v>
      </c>
      <c r="J13" s="1" t="s">
        <v>1276</v>
      </c>
      <c r="K13" s="1" t="s">
        <v>1277</v>
      </c>
      <c r="L13" s="1" t="s">
        <v>1276</v>
      </c>
      <c r="P13" s="1" t="s">
        <v>1270</v>
      </c>
      <c r="Q13" s="1">
        <v>2009</v>
      </c>
      <c r="R13" s="1" t="s">
        <v>1271</v>
      </c>
      <c r="S13" s="1" t="s">
        <v>27</v>
      </c>
      <c r="T13" s="6">
        <v>1</v>
      </c>
      <c r="AH13" s="1">
        <v>9.92</v>
      </c>
      <c r="AK13" s="1">
        <v>2.6936136159999999</v>
      </c>
      <c r="AL13" s="1">
        <v>2.8804169960000001</v>
      </c>
      <c r="AM13" s="1">
        <v>3.388886684</v>
      </c>
      <c r="AN13" s="1">
        <v>0.14944270400000001</v>
      </c>
    </row>
    <row r="14" spans="1:247" x14ac:dyDescent="0.2">
      <c r="A14" s="1" t="s">
        <v>1278</v>
      </c>
      <c r="B14" s="1" t="s">
        <v>55</v>
      </c>
      <c r="C14" s="1" t="s">
        <v>1279</v>
      </c>
      <c r="D14" s="1" t="s">
        <v>2</v>
      </c>
      <c r="E14" s="1">
        <v>13</v>
      </c>
      <c r="F14" s="1" t="s">
        <v>1280</v>
      </c>
      <c r="H14" s="1" t="s">
        <v>1281</v>
      </c>
      <c r="I14" s="1" t="s">
        <v>7</v>
      </c>
      <c r="J14" s="1" t="s">
        <v>1282</v>
      </c>
      <c r="K14" s="1" t="s">
        <v>1283</v>
      </c>
      <c r="L14" s="1" t="s">
        <v>1282</v>
      </c>
      <c r="M14" s="1" t="s">
        <v>1284</v>
      </c>
      <c r="N14" s="1" t="s">
        <v>1285</v>
      </c>
      <c r="O14" s="1">
        <v>6</v>
      </c>
      <c r="Q14" s="1">
        <v>2003</v>
      </c>
      <c r="R14" s="1" t="s">
        <v>1286</v>
      </c>
      <c r="S14" s="1" t="s">
        <v>27</v>
      </c>
      <c r="T14" s="6">
        <v>1</v>
      </c>
      <c r="U14" s="1">
        <v>0.48099999999999998</v>
      </c>
      <c r="V14" s="1">
        <v>423.6</v>
      </c>
      <c r="W14" s="1">
        <v>101.1</v>
      </c>
      <c r="Z14" s="1">
        <v>77.17</v>
      </c>
      <c r="AA14" s="1">
        <v>6.25</v>
      </c>
      <c r="AC14" s="1">
        <v>18.809999999999999</v>
      </c>
      <c r="AI14" s="1">
        <v>2.87</v>
      </c>
      <c r="AK14" s="1">
        <v>0.48566140000000002</v>
      </c>
      <c r="AL14" s="1">
        <v>0.55597640000000004</v>
      </c>
      <c r="AM14" s="1">
        <v>0.72335479999999996</v>
      </c>
      <c r="AV14" s="1">
        <v>1.05</v>
      </c>
    </row>
    <row r="15" spans="1:247" x14ac:dyDescent="0.2">
      <c r="A15" s="1" t="s">
        <v>1287</v>
      </c>
      <c r="B15" s="1" t="s">
        <v>55</v>
      </c>
      <c r="C15" s="1" t="s">
        <v>1288</v>
      </c>
      <c r="D15" s="1" t="s">
        <v>2</v>
      </c>
      <c r="E15" s="1">
        <v>33</v>
      </c>
      <c r="F15" s="1" t="s">
        <v>1289</v>
      </c>
      <c r="H15" s="1" t="s">
        <v>1290</v>
      </c>
      <c r="I15" s="1" t="s">
        <v>7</v>
      </c>
      <c r="J15" s="1" t="s">
        <v>1291</v>
      </c>
      <c r="K15" s="1" t="s">
        <v>1292</v>
      </c>
      <c r="L15" s="1" t="s">
        <v>1291</v>
      </c>
      <c r="M15" s="1" t="s">
        <v>1293</v>
      </c>
      <c r="N15" s="1" t="s">
        <v>1294</v>
      </c>
      <c r="P15" s="19" t="s">
        <v>6709</v>
      </c>
      <c r="Q15" s="1">
        <v>2008</v>
      </c>
      <c r="R15" s="1" t="s">
        <v>1295</v>
      </c>
      <c r="S15" s="1" t="s">
        <v>27</v>
      </c>
      <c r="T15" s="6">
        <v>1</v>
      </c>
      <c r="AH15" s="1">
        <v>6.5</v>
      </c>
      <c r="AK15" s="1">
        <v>1.65861215</v>
      </c>
      <c r="AL15" s="1">
        <v>1.53236577</v>
      </c>
      <c r="AM15" s="1">
        <v>1.58281695</v>
      </c>
      <c r="AN15" s="1">
        <v>1.1475867</v>
      </c>
      <c r="AY15" s="1">
        <v>61.65</v>
      </c>
      <c r="BF15" s="1">
        <v>2.577</v>
      </c>
      <c r="BG15" s="1" t="s">
        <v>1296</v>
      </c>
      <c r="BH15" s="1">
        <v>460.10300000000001</v>
      </c>
      <c r="BJ15" s="1">
        <v>32.577300000000001</v>
      </c>
      <c r="BK15" s="1">
        <v>5.3600000000000002E-2</v>
      </c>
      <c r="BM15" s="1">
        <v>77.525999999999996</v>
      </c>
      <c r="BP15" s="1">
        <v>374.98</v>
      </c>
      <c r="BS15" s="1">
        <v>29.4</v>
      </c>
      <c r="BW15" s="1">
        <v>0.28899999999999998</v>
      </c>
    </row>
    <row r="16" spans="1:247" x14ac:dyDescent="0.2">
      <c r="A16" s="1" t="s">
        <v>1297</v>
      </c>
      <c r="B16" s="1" t="s">
        <v>55</v>
      </c>
      <c r="C16" s="1" t="s">
        <v>1288</v>
      </c>
      <c r="D16" s="1" t="s">
        <v>2</v>
      </c>
      <c r="E16" s="1">
        <v>33</v>
      </c>
      <c r="F16" s="1" t="s">
        <v>1298</v>
      </c>
      <c r="H16" s="1" t="s">
        <v>1299</v>
      </c>
      <c r="I16" s="1" t="s">
        <v>7</v>
      </c>
      <c r="J16" s="1" t="s">
        <v>1300</v>
      </c>
      <c r="K16" s="1" t="s">
        <v>1301</v>
      </c>
      <c r="L16" s="1" t="s">
        <v>1300</v>
      </c>
      <c r="M16" s="1" t="s">
        <v>1293</v>
      </c>
      <c r="N16" s="1" t="s">
        <v>1302</v>
      </c>
      <c r="P16" s="19" t="s">
        <v>6709</v>
      </c>
      <c r="Q16" s="1">
        <v>2008</v>
      </c>
      <c r="R16" s="1" t="s">
        <v>1295</v>
      </c>
      <c r="S16" s="1" t="s">
        <v>27</v>
      </c>
      <c r="T16" s="6">
        <v>1</v>
      </c>
      <c r="AH16" s="1">
        <v>8.1</v>
      </c>
      <c r="AK16" s="1">
        <v>2.1004711899999999</v>
      </c>
      <c r="AL16" s="1">
        <v>2.12197266</v>
      </c>
      <c r="AM16" s="1">
        <v>1.8350392499999999</v>
      </c>
      <c r="AN16" s="1">
        <v>1.3568169000000001</v>
      </c>
      <c r="AY16" s="1">
        <v>19.515000000000001</v>
      </c>
      <c r="BF16" s="1">
        <v>22.468</v>
      </c>
      <c r="BG16" s="1" t="s">
        <v>1303</v>
      </c>
      <c r="BH16" s="1">
        <v>391.13900000000001</v>
      </c>
      <c r="BJ16" s="1">
        <v>21.940999999999999</v>
      </c>
      <c r="BK16" s="1">
        <v>0.64700000000000002</v>
      </c>
      <c r="BM16" s="1">
        <v>29.114000000000001</v>
      </c>
      <c r="BP16" s="1">
        <v>350.738</v>
      </c>
      <c r="BS16" s="1">
        <v>24</v>
      </c>
      <c r="BW16" s="1">
        <v>0.108</v>
      </c>
    </row>
    <row r="17" spans="1:163" x14ac:dyDescent="0.2">
      <c r="A17" s="1" t="s">
        <v>1304</v>
      </c>
      <c r="B17" s="1" t="s">
        <v>55</v>
      </c>
      <c r="C17" s="1" t="s">
        <v>1288</v>
      </c>
      <c r="D17" s="1" t="s">
        <v>2</v>
      </c>
      <c r="E17" s="1">
        <v>33</v>
      </c>
      <c r="F17" s="1" t="s">
        <v>1305</v>
      </c>
      <c r="H17" s="1" t="s">
        <v>1306</v>
      </c>
      <c r="I17" s="1" t="s">
        <v>7</v>
      </c>
      <c r="J17" s="1" t="s">
        <v>1307</v>
      </c>
      <c r="K17" s="1" t="s">
        <v>1308</v>
      </c>
      <c r="L17" s="1" t="s">
        <v>1307</v>
      </c>
      <c r="M17" s="1" t="s">
        <v>1293</v>
      </c>
      <c r="N17" s="1" t="s">
        <v>1309</v>
      </c>
      <c r="P17" s="19" t="s">
        <v>6709</v>
      </c>
      <c r="Q17" s="1">
        <v>2008</v>
      </c>
      <c r="R17" s="1" t="s">
        <v>1295</v>
      </c>
      <c r="S17" s="1" t="s">
        <v>27</v>
      </c>
      <c r="T17" s="6">
        <v>1</v>
      </c>
      <c r="AH17" s="1">
        <v>2.29</v>
      </c>
      <c r="AK17" s="1">
        <v>0.64615590840000003</v>
      </c>
      <c r="AL17" s="1">
        <v>0.53766582900000004</v>
      </c>
      <c r="AM17" s="1">
        <v>0.54663689400000004</v>
      </c>
      <c r="AN17" s="1">
        <v>0.26315124000000001</v>
      </c>
      <c r="AY17" s="1">
        <v>38.111800000000002</v>
      </c>
      <c r="BF17" s="1">
        <v>5.6662999999999997</v>
      </c>
      <c r="BG17" s="1" t="s">
        <v>1310</v>
      </c>
      <c r="BH17" s="1">
        <v>496.22250000000003</v>
      </c>
      <c r="BJ17" s="1">
        <v>33.230699999999999</v>
      </c>
      <c r="BK17" s="1">
        <v>3.0300000000000001E-2</v>
      </c>
      <c r="BM17" s="1">
        <v>49.772599999999997</v>
      </c>
      <c r="BP17" s="1">
        <v>351.94119999999998</v>
      </c>
      <c r="BS17" s="1">
        <v>28.5</v>
      </c>
      <c r="BW17" s="1">
        <v>0.48970000000000002</v>
      </c>
    </row>
    <row r="18" spans="1:163" x14ac:dyDescent="0.2">
      <c r="A18" s="1" t="s">
        <v>1311</v>
      </c>
      <c r="B18" s="1" t="s">
        <v>55</v>
      </c>
      <c r="C18" s="1" t="s">
        <v>1312</v>
      </c>
      <c r="D18" s="1" t="s">
        <v>2</v>
      </c>
      <c r="E18" s="1">
        <v>11</v>
      </c>
      <c r="F18" s="1" t="s">
        <v>1313</v>
      </c>
      <c r="H18" s="1" t="s">
        <v>1314</v>
      </c>
      <c r="I18" s="1" t="s">
        <v>7</v>
      </c>
      <c r="J18" s="1" t="s">
        <v>1315</v>
      </c>
      <c r="K18" s="1" t="s">
        <v>1316</v>
      </c>
      <c r="L18" s="1" t="s">
        <v>1315</v>
      </c>
      <c r="M18" s="1" t="s">
        <v>1317</v>
      </c>
      <c r="N18" s="1" t="s">
        <v>1318</v>
      </c>
      <c r="P18" s="1" t="s">
        <v>1270</v>
      </c>
      <c r="Q18" s="1">
        <v>2010</v>
      </c>
      <c r="R18" s="1" t="s">
        <v>1319</v>
      </c>
      <c r="S18" s="1" t="s">
        <v>27</v>
      </c>
      <c r="T18" s="6">
        <v>1</v>
      </c>
      <c r="Z18" s="1" t="s">
        <v>1320</v>
      </c>
      <c r="AA18" s="1">
        <v>6.25</v>
      </c>
      <c r="AC18" s="1" t="s">
        <v>1321</v>
      </c>
      <c r="AH18" s="1" t="s">
        <v>1322</v>
      </c>
      <c r="AK18" s="1">
        <v>2.642088218</v>
      </c>
      <c r="AL18" s="1">
        <v>5.2619740139999998</v>
      </c>
      <c r="AM18" s="1">
        <v>1.5228843089999999</v>
      </c>
      <c r="AV18" s="1" t="s">
        <v>1323</v>
      </c>
    </row>
    <row r="19" spans="1:163" x14ac:dyDescent="0.2">
      <c r="A19" s="1" t="s">
        <v>1324</v>
      </c>
      <c r="B19" s="1" t="s">
        <v>55</v>
      </c>
      <c r="C19" s="1" t="s">
        <v>1312</v>
      </c>
      <c r="D19" s="1" t="s">
        <v>2</v>
      </c>
      <c r="E19" s="1">
        <v>11</v>
      </c>
      <c r="F19" s="1" t="s">
        <v>1313</v>
      </c>
      <c r="H19" s="1" t="s">
        <v>1325</v>
      </c>
      <c r="I19" s="1" t="s">
        <v>11</v>
      </c>
      <c r="J19" s="1" t="s">
        <v>1315</v>
      </c>
      <c r="K19" s="1" t="s">
        <v>1316</v>
      </c>
      <c r="L19" s="1" t="s">
        <v>1315</v>
      </c>
      <c r="M19" s="1" t="s">
        <v>1317</v>
      </c>
      <c r="N19" s="1" t="s">
        <v>1326</v>
      </c>
      <c r="P19" s="1" t="s">
        <v>1270</v>
      </c>
      <c r="Q19" s="1">
        <v>2010</v>
      </c>
      <c r="R19" s="1" t="s">
        <v>1319</v>
      </c>
      <c r="S19" s="1" t="s">
        <v>27</v>
      </c>
      <c r="T19" s="6">
        <v>1</v>
      </c>
      <c r="Z19" s="1">
        <v>70.84</v>
      </c>
      <c r="AA19" s="1">
        <v>6.25</v>
      </c>
      <c r="AC19" s="1">
        <v>18.809999999999999</v>
      </c>
      <c r="AH19" s="1">
        <v>8.32</v>
      </c>
      <c r="AK19" s="1">
        <v>2.0504235959999999</v>
      </c>
      <c r="AL19" s="1">
        <v>3.81358978</v>
      </c>
      <c r="AM19" s="1">
        <v>1.176460064</v>
      </c>
      <c r="AV19" s="1">
        <v>1.25</v>
      </c>
    </row>
    <row r="20" spans="1:163" x14ac:dyDescent="0.2">
      <c r="A20" s="1" t="s">
        <v>1327</v>
      </c>
      <c r="B20" s="1" t="s">
        <v>55</v>
      </c>
      <c r="C20" s="1" t="s">
        <v>1312</v>
      </c>
      <c r="D20" s="1" t="s">
        <v>2</v>
      </c>
      <c r="E20" s="1">
        <v>11</v>
      </c>
      <c r="F20" s="1" t="s">
        <v>1313</v>
      </c>
      <c r="H20" s="1" t="s">
        <v>1328</v>
      </c>
      <c r="I20" s="1" t="s">
        <v>11</v>
      </c>
      <c r="J20" s="1" t="s">
        <v>1315</v>
      </c>
      <c r="K20" s="1" t="s">
        <v>1316</v>
      </c>
      <c r="L20" s="1" t="s">
        <v>1315</v>
      </c>
      <c r="M20" s="1" t="s">
        <v>1317</v>
      </c>
      <c r="N20" s="1" t="s">
        <v>1329</v>
      </c>
      <c r="P20" s="1" t="s">
        <v>1270</v>
      </c>
      <c r="Q20" s="1">
        <v>2010</v>
      </c>
      <c r="R20" s="1" t="s">
        <v>1319</v>
      </c>
      <c r="S20" s="1" t="s">
        <v>27</v>
      </c>
      <c r="T20" s="6">
        <v>1</v>
      </c>
      <c r="Z20" s="1" t="s">
        <v>1330</v>
      </c>
      <c r="AA20" s="1" t="s">
        <v>1331</v>
      </c>
      <c r="AC20" s="1" t="s">
        <v>1332</v>
      </c>
      <c r="AH20" s="1" t="s">
        <v>1333</v>
      </c>
      <c r="AK20" s="1">
        <v>1.88696639</v>
      </c>
      <c r="AL20" s="1">
        <v>3.5207853999999998</v>
      </c>
      <c r="AM20" s="1">
        <v>0.96821598499999995</v>
      </c>
      <c r="AV20" s="1" t="s">
        <v>1334</v>
      </c>
    </row>
    <row r="21" spans="1:163" x14ac:dyDescent="0.2">
      <c r="A21" s="1" t="s">
        <v>1335</v>
      </c>
      <c r="B21" s="1" t="s">
        <v>55</v>
      </c>
      <c r="C21" s="1" t="s">
        <v>1312</v>
      </c>
      <c r="D21" s="1" t="s">
        <v>2</v>
      </c>
      <c r="E21" s="1">
        <v>11</v>
      </c>
      <c r="F21" s="1" t="s">
        <v>1313</v>
      </c>
      <c r="H21" s="1" t="s">
        <v>1336</v>
      </c>
      <c r="I21" s="1" t="s">
        <v>11</v>
      </c>
      <c r="J21" s="1" t="s">
        <v>1315</v>
      </c>
      <c r="K21" s="1" t="s">
        <v>1316</v>
      </c>
      <c r="L21" s="1" t="s">
        <v>1315</v>
      </c>
      <c r="M21" s="1" t="s">
        <v>1317</v>
      </c>
      <c r="N21" s="1" t="s">
        <v>1337</v>
      </c>
      <c r="P21" s="1" t="s">
        <v>1270</v>
      </c>
      <c r="Q21" s="1">
        <v>2010</v>
      </c>
      <c r="R21" s="1" t="s">
        <v>1319</v>
      </c>
      <c r="S21" s="1" t="s">
        <v>27</v>
      </c>
      <c r="T21" s="6">
        <v>1</v>
      </c>
      <c r="Z21" s="1">
        <v>72.38</v>
      </c>
      <c r="AA21" s="1">
        <v>6.25</v>
      </c>
      <c r="AC21" s="1">
        <v>18.37</v>
      </c>
      <c r="AH21" s="1">
        <v>5.73</v>
      </c>
      <c r="AK21" s="1">
        <v>1.328348877</v>
      </c>
      <c r="AL21" s="1">
        <v>2.6353650850000001</v>
      </c>
      <c r="AM21" s="1">
        <v>0.78514628099999995</v>
      </c>
      <c r="AV21" s="1">
        <v>0.92</v>
      </c>
    </row>
    <row r="22" spans="1:163" x14ac:dyDescent="0.2">
      <c r="A22" s="1" t="s">
        <v>1338</v>
      </c>
      <c r="B22" s="1" t="s">
        <v>55</v>
      </c>
      <c r="C22" s="1" t="s">
        <v>1339</v>
      </c>
      <c r="D22" s="1" t="s">
        <v>2</v>
      </c>
      <c r="E22" s="1">
        <v>13</v>
      </c>
      <c r="F22" s="1" t="s">
        <v>1340</v>
      </c>
      <c r="H22" s="1" t="s">
        <v>1341</v>
      </c>
      <c r="I22" s="1" t="s">
        <v>7</v>
      </c>
      <c r="J22" s="1" t="s">
        <v>1268</v>
      </c>
      <c r="K22" s="1" t="s">
        <v>1269</v>
      </c>
      <c r="L22" s="1" t="s">
        <v>1268</v>
      </c>
      <c r="O22" s="1">
        <v>1</v>
      </c>
      <c r="P22" s="1" t="s">
        <v>1270</v>
      </c>
      <c r="Q22" s="1">
        <v>2008</v>
      </c>
      <c r="R22" s="1" t="s">
        <v>1342</v>
      </c>
      <c r="S22" s="1" t="s">
        <v>27</v>
      </c>
      <c r="T22" s="6">
        <v>1</v>
      </c>
      <c r="Z22" s="1">
        <v>83.57</v>
      </c>
      <c r="AC22" s="1">
        <v>13.6</v>
      </c>
      <c r="AG22" s="1">
        <v>160</v>
      </c>
      <c r="AH22" s="1">
        <v>1.84</v>
      </c>
      <c r="AK22" s="1">
        <v>0.704554444</v>
      </c>
      <c r="AL22" s="1">
        <v>0.54576609600000003</v>
      </c>
      <c r="AM22" s="1">
        <v>0.24471345999999999</v>
      </c>
      <c r="AV22" s="1">
        <v>1.25</v>
      </c>
      <c r="AY22" s="1">
        <v>8.0299999999999994</v>
      </c>
      <c r="BH22" s="1">
        <v>335.6</v>
      </c>
      <c r="BJ22" s="1">
        <v>12.08</v>
      </c>
      <c r="BM22" s="1">
        <v>387.5</v>
      </c>
      <c r="CB22" s="1">
        <v>0.03</v>
      </c>
      <c r="CV22" s="1">
        <v>0.22</v>
      </c>
      <c r="EW22" s="1">
        <v>29.3</v>
      </c>
      <c r="FG22" s="1">
        <v>0.41</v>
      </c>
    </row>
    <row r="23" spans="1:163" x14ac:dyDescent="0.2">
      <c r="A23" s="1" t="s">
        <v>1343</v>
      </c>
      <c r="B23" s="1" t="s">
        <v>55</v>
      </c>
      <c r="C23" s="1" t="s">
        <v>1344</v>
      </c>
      <c r="D23" s="1" t="s">
        <v>2</v>
      </c>
      <c r="E23" s="1">
        <v>13</v>
      </c>
      <c r="F23" s="1" t="s">
        <v>1266</v>
      </c>
      <c r="G23" s="1" t="s">
        <v>1345</v>
      </c>
      <c r="H23" s="1" t="s">
        <v>1346</v>
      </c>
      <c r="I23" s="1" t="s">
        <v>7</v>
      </c>
      <c r="J23" s="1" t="s">
        <v>1268</v>
      </c>
      <c r="K23" s="1" t="s">
        <v>1269</v>
      </c>
      <c r="L23" s="1" t="s">
        <v>1268</v>
      </c>
      <c r="Q23" s="1">
        <v>2010</v>
      </c>
      <c r="R23" s="1" t="s">
        <v>1347</v>
      </c>
      <c r="S23" s="1" t="s">
        <v>27</v>
      </c>
      <c r="T23" s="6">
        <v>1</v>
      </c>
      <c r="Z23" s="1">
        <v>82.3</v>
      </c>
      <c r="AC23" s="1">
        <v>13.8</v>
      </c>
      <c r="AH23" s="1">
        <v>3.2</v>
      </c>
      <c r="AV23" s="1">
        <v>1.2</v>
      </c>
    </row>
    <row r="24" spans="1:163" x14ac:dyDescent="0.2">
      <c r="A24" s="1" t="s">
        <v>1348</v>
      </c>
      <c r="B24" s="1" t="s">
        <v>55</v>
      </c>
      <c r="C24" s="1" t="s">
        <v>1344</v>
      </c>
      <c r="D24" s="1" t="s">
        <v>2</v>
      </c>
      <c r="E24" s="1">
        <v>13</v>
      </c>
      <c r="F24" s="1" t="s">
        <v>1266</v>
      </c>
      <c r="G24" s="1" t="s">
        <v>1345</v>
      </c>
      <c r="H24" s="1" t="s">
        <v>1349</v>
      </c>
      <c r="I24" s="1" t="s">
        <v>7</v>
      </c>
      <c r="J24" s="1" t="s">
        <v>1268</v>
      </c>
      <c r="K24" s="1" t="s">
        <v>1269</v>
      </c>
      <c r="L24" s="1" t="s">
        <v>1268</v>
      </c>
      <c r="P24" s="1" t="s">
        <v>1270</v>
      </c>
      <c r="Q24" s="1">
        <v>2010</v>
      </c>
      <c r="R24" s="1" t="s">
        <v>1347</v>
      </c>
      <c r="S24" s="1" t="s">
        <v>27</v>
      </c>
      <c r="T24" s="6">
        <v>1</v>
      </c>
      <c r="Z24" s="1">
        <v>82.7</v>
      </c>
      <c r="AC24" s="1">
        <v>13.3</v>
      </c>
      <c r="AH24" s="1">
        <v>2.9</v>
      </c>
      <c r="AK24" s="1">
        <v>0.9763887</v>
      </c>
      <c r="AL24" s="1">
        <v>0.98920220000000003</v>
      </c>
      <c r="AM24" s="1">
        <v>0.61248530000000001</v>
      </c>
      <c r="AV24" s="1">
        <v>0.8</v>
      </c>
    </row>
    <row r="25" spans="1:163" x14ac:dyDescent="0.2">
      <c r="A25" s="1" t="s">
        <v>1350</v>
      </c>
      <c r="B25" s="1" t="s">
        <v>55</v>
      </c>
      <c r="C25" s="1" t="s">
        <v>1344</v>
      </c>
      <c r="D25" s="1" t="s">
        <v>2</v>
      </c>
      <c r="E25" s="1">
        <v>13</v>
      </c>
      <c r="F25" s="1" t="s">
        <v>1266</v>
      </c>
      <c r="G25" s="1" t="s">
        <v>1345</v>
      </c>
      <c r="H25" s="1" t="s">
        <v>1349</v>
      </c>
      <c r="I25" s="1" t="s">
        <v>7</v>
      </c>
      <c r="J25" s="1" t="s">
        <v>1268</v>
      </c>
      <c r="K25" s="1" t="s">
        <v>1269</v>
      </c>
      <c r="L25" s="1" t="s">
        <v>1268</v>
      </c>
      <c r="P25" s="1" t="s">
        <v>1270</v>
      </c>
      <c r="Q25" s="1">
        <v>2010</v>
      </c>
      <c r="R25" s="1" t="s">
        <v>1347</v>
      </c>
      <c r="S25" s="1" t="s">
        <v>27</v>
      </c>
      <c r="T25" s="6">
        <v>1</v>
      </c>
      <c r="Z25" s="1">
        <v>82.2</v>
      </c>
      <c r="AC25" s="1">
        <v>14.2</v>
      </c>
      <c r="AH25" s="1">
        <v>1.7</v>
      </c>
      <c r="AK25" s="1">
        <v>0.54260560000000002</v>
      </c>
      <c r="AL25" s="1">
        <v>0.55703659999999999</v>
      </c>
      <c r="AM25" s="1">
        <v>0.34345779999999998</v>
      </c>
      <c r="AV25" s="1">
        <v>1.1000000000000001</v>
      </c>
    </row>
    <row r="26" spans="1:163" x14ac:dyDescent="0.2">
      <c r="A26" s="1" t="s">
        <v>1351</v>
      </c>
      <c r="B26" s="1" t="s">
        <v>55</v>
      </c>
      <c r="C26" s="1" t="s">
        <v>1344</v>
      </c>
      <c r="D26" s="1" t="s">
        <v>2</v>
      </c>
      <c r="E26" s="1">
        <v>13</v>
      </c>
      <c r="F26" s="1" t="s">
        <v>1266</v>
      </c>
      <c r="G26" s="1" t="s">
        <v>1345</v>
      </c>
      <c r="H26" s="1" t="s">
        <v>1352</v>
      </c>
      <c r="I26" s="1" t="s">
        <v>7</v>
      </c>
      <c r="J26" s="1" t="s">
        <v>1268</v>
      </c>
      <c r="K26" s="1" t="s">
        <v>1269</v>
      </c>
      <c r="L26" s="1" t="s">
        <v>1268</v>
      </c>
      <c r="Q26" s="1">
        <v>2010</v>
      </c>
      <c r="R26" s="1" t="s">
        <v>1347</v>
      </c>
      <c r="S26" s="1" t="s">
        <v>27</v>
      </c>
      <c r="T26" s="6">
        <v>1</v>
      </c>
      <c r="Z26" s="1">
        <v>83.3</v>
      </c>
      <c r="AC26" s="1">
        <v>13.5</v>
      </c>
      <c r="AH26" s="1">
        <v>1.8</v>
      </c>
      <c r="AV26" s="1">
        <v>1.1000000000000001</v>
      </c>
    </row>
    <row r="27" spans="1:163" x14ac:dyDescent="0.2">
      <c r="A27" s="1" t="s">
        <v>1353</v>
      </c>
      <c r="B27" s="1" t="s">
        <v>55</v>
      </c>
      <c r="C27" s="1" t="s">
        <v>1344</v>
      </c>
      <c r="D27" s="1" t="s">
        <v>2</v>
      </c>
      <c r="E27" s="1">
        <v>13</v>
      </c>
      <c r="F27" s="1" t="s">
        <v>1266</v>
      </c>
      <c r="G27" s="1" t="s">
        <v>1345</v>
      </c>
      <c r="H27" s="1" t="s">
        <v>1349</v>
      </c>
      <c r="I27" s="1" t="s">
        <v>7</v>
      </c>
      <c r="J27" s="1" t="s">
        <v>1268</v>
      </c>
      <c r="K27" s="1" t="s">
        <v>1269</v>
      </c>
      <c r="L27" s="1" t="s">
        <v>1268</v>
      </c>
      <c r="Q27" s="1">
        <v>2010</v>
      </c>
      <c r="R27" s="1" t="s">
        <v>1347</v>
      </c>
      <c r="S27" s="1" t="s">
        <v>27</v>
      </c>
      <c r="T27" s="6">
        <v>1</v>
      </c>
      <c r="Z27" s="1">
        <v>83.3</v>
      </c>
      <c r="AC27" s="1">
        <v>14.4</v>
      </c>
      <c r="AH27" s="1">
        <v>2</v>
      </c>
      <c r="AV27" s="1">
        <v>0.8</v>
      </c>
    </row>
    <row r="28" spans="1:163" x14ac:dyDescent="0.2">
      <c r="A28" s="1" t="s">
        <v>1354</v>
      </c>
      <c r="B28" s="1" t="s">
        <v>55</v>
      </c>
      <c r="C28" s="1" t="s">
        <v>1344</v>
      </c>
      <c r="D28" s="1" t="s">
        <v>2</v>
      </c>
      <c r="E28" s="1">
        <v>13</v>
      </c>
      <c r="F28" s="1" t="s">
        <v>1266</v>
      </c>
      <c r="G28" s="1" t="s">
        <v>1345</v>
      </c>
      <c r="H28" s="1" t="s">
        <v>1349</v>
      </c>
      <c r="I28" s="1" t="s">
        <v>7</v>
      </c>
      <c r="J28" s="1" t="s">
        <v>1268</v>
      </c>
      <c r="K28" s="1" t="s">
        <v>1269</v>
      </c>
      <c r="L28" s="1" t="s">
        <v>1268</v>
      </c>
      <c r="Q28" s="1">
        <v>2010</v>
      </c>
      <c r="R28" s="1" t="s">
        <v>1347</v>
      </c>
      <c r="S28" s="1" t="s">
        <v>27</v>
      </c>
      <c r="T28" s="6">
        <v>1</v>
      </c>
      <c r="Z28" s="1">
        <v>82.1</v>
      </c>
      <c r="AC28" s="1">
        <v>15.7</v>
      </c>
      <c r="AH28" s="1">
        <v>1.4</v>
      </c>
      <c r="AV28" s="1">
        <v>1.3</v>
      </c>
    </row>
    <row r="29" spans="1:163" x14ac:dyDescent="0.2">
      <c r="A29" s="1" t="s">
        <v>1355</v>
      </c>
      <c r="B29" s="1" t="s">
        <v>55</v>
      </c>
      <c r="C29" s="1" t="s">
        <v>1344</v>
      </c>
      <c r="D29" s="1" t="s">
        <v>2</v>
      </c>
      <c r="E29" s="1">
        <v>13</v>
      </c>
      <c r="F29" s="1" t="s">
        <v>1266</v>
      </c>
      <c r="G29" s="1" t="s">
        <v>1345</v>
      </c>
      <c r="H29" s="1" t="s">
        <v>1356</v>
      </c>
      <c r="I29" s="1" t="s">
        <v>7</v>
      </c>
      <c r="J29" s="1" t="s">
        <v>1268</v>
      </c>
      <c r="K29" s="1" t="s">
        <v>1269</v>
      </c>
      <c r="L29" s="1" t="s">
        <v>1268</v>
      </c>
      <c r="P29" s="1" t="s">
        <v>1270</v>
      </c>
      <c r="Q29" s="1">
        <v>2010</v>
      </c>
      <c r="R29" s="1" t="s">
        <v>1347</v>
      </c>
      <c r="S29" s="1" t="s">
        <v>27</v>
      </c>
      <c r="T29" s="6">
        <v>1</v>
      </c>
      <c r="Z29" s="1">
        <v>79.900000000000006</v>
      </c>
      <c r="AC29" s="1">
        <v>17.100000000000001</v>
      </c>
      <c r="AH29" s="1">
        <v>1.9</v>
      </c>
      <c r="AK29" s="1">
        <v>0.62417509999999998</v>
      </c>
      <c r="AL29" s="1">
        <v>0.60624840000000002</v>
      </c>
      <c r="AM29" s="1">
        <v>0.3943874</v>
      </c>
      <c r="AV29" s="1">
        <v>1</v>
      </c>
    </row>
    <row r="30" spans="1:163" x14ac:dyDescent="0.2">
      <c r="A30" s="1" t="s">
        <v>1357</v>
      </c>
      <c r="B30" s="1" t="s">
        <v>55</v>
      </c>
      <c r="C30" s="1" t="s">
        <v>1344</v>
      </c>
      <c r="D30" s="1" t="s">
        <v>2</v>
      </c>
      <c r="E30" s="1">
        <v>13</v>
      </c>
      <c r="F30" s="1" t="s">
        <v>1266</v>
      </c>
      <c r="G30" s="1" t="s">
        <v>1345</v>
      </c>
      <c r="H30" s="1" t="s">
        <v>1356</v>
      </c>
      <c r="I30" s="1" t="s">
        <v>7</v>
      </c>
      <c r="J30" s="1" t="s">
        <v>1268</v>
      </c>
      <c r="K30" s="1" t="s">
        <v>1269</v>
      </c>
      <c r="L30" s="1" t="s">
        <v>1268</v>
      </c>
      <c r="Q30" s="1">
        <v>2010</v>
      </c>
      <c r="R30" s="1" t="s">
        <v>1347</v>
      </c>
      <c r="S30" s="1" t="s">
        <v>27</v>
      </c>
      <c r="T30" s="6">
        <v>1</v>
      </c>
      <c r="Z30" s="1">
        <v>80</v>
      </c>
      <c r="AC30" s="1">
        <v>17.399999999999999</v>
      </c>
      <c r="AH30" s="1">
        <v>1.8</v>
      </c>
      <c r="AV30" s="1">
        <v>0.9</v>
      </c>
    </row>
    <row r="31" spans="1:163" x14ac:dyDescent="0.2">
      <c r="A31" s="1" t="s">
        <v>1358</v>
      </c>
      <c r="B31" s="1" t="s">
        <v>55</v>
      </c>
      <c r="C31" s="1" t="s">
        <v>1344</v>
      </c>
      <c r="D31" s="1" t="s">
        <v>2</v>
      </c>
      <c r="E31" s="1">
        <v>13</v>
      </c>
      <c r="F31" s="1" t="s">
        <v>1266</v>
      </c>
      <c r="G31" s="1" t="s">
        <v>1345</v>
      </c>
      <c r="H31" s="1" t="s">
        <v>1356</v>
      </c>
      <c r="I31" s="1" t="s">
        <v>7</v>
      </c>
      <c r="J31" s="1" t="s">
        <v>1268</v>
      </c>
      <c r="K31" s="1" t="s">
        <v>1269</v>
      </c>
      <c r="L31" s="1" t="s">
        <v>1268</v>
      </c>
      <c r="Q31" s="1">
        <v>2010</v>
      </c>
      <c r="R31" s="1" t="s">
        <v>1347</v>
      </c>
      <c r="S31" s="1" t="s">
        <v>27</v>
      </c>
      <c r="T31" s="6">
        <v>1</v>
      </c>
      <c r="Z31" s="1">
        <v>80.400000000000006</v>
      </c>
      <c r="AC31" s="1">
        <v>17</v>
      </c>
      <c r="AH31" s="1">
        <v>2.2999999999999998</v>
      </c>
      <c r="AV31" s="1">
        <v>0.8</v>
      </c>
    </row>
    <row r="32" spans="1:163" x14ac:dyDescent="0.2">
      <c r="A32" s="1" t="s">
        <v>1359</v>
      </c>
      <c r="B32" s="1" t="s">
        <v>55</v>
      </c>
      <c r="C32" s="1" t="s">
        <v>236</v>
      </c>
      <c r="D32" s="1" t="s">
        <v>2</v>
      </c>
      <c r="E32" s="1">
        <v>13</v>
      </c>
      <c r="F32" s="1" t="s">
        <v>1360</v>
      </c>
      <c r="H32" s="1" t="s">
        <v>1361</v>
      </c>
      <c r="I32" s="1" t="s">
        <v>7</v>
      </c>
      <c r="J32" s="1" t="s">
        <v>1362</v>
      </c>
      <c r="K32" s="1" t="s">
        <v>1363</v>
      </c>
      <c r="L32" s="1" t="s">
        <v>1362</v>
      </c>
      <c r="N32" s="1" t="s">
        <v>1364</v>
      </c>
      <c r="Q32" s="1">
        <v>1998</v>
      </c>
      <c r="R32" s="1" t="s">
        <v>1365</v>
      </c>
      <c r="S32" s="1" t="s">
        <v>27</v>
      </c>
      <c r="T32" s="6">
        <v>1</v>
      </c>
      <c r="Z32" s="1">
        <v>78.8</v>
      </c>
      <c r="AC32" s="1">
        <v>15.1</v>
      </c>
      <c r="AI32" s="1">
        <v>5.3</v>
      </c>
      <c r="AQ32" s="1">
        <v>0.4</v>
      </c>
      <c r="AV32" s="1">
        <v>0.9</v>
      </c>
      <c r="EW32" s="1">
        <v>59.1</v>
      </c>
    </row>
    <row r="33" spans="1:153" x14ac:dyDescent="0.2">
      <c r="A33" s="1" t="s">
        <v>1366</v>
      </c>
      <c r="B33" s="1" t="s">
        <v>55</v>
      </c>
      <c r="C33" s="1" t="s">
        <v>236</v>
      </c>
      <c r="D33" s="1" t="s">
        <v>2</v>
      </c>
      <c r="E33" s="1">
        <v>13</v>
      </c>
      <c r="F33" s="1" t="s">
        <v>1360</v>
      </c>
      <c r="H33" s="1" t="s">
        <v>1361</v>
      </c>
      <c r="I33" s="1" t="s">
        <v>7</v>
      </c>
      <c r="J33" s="1" t="s">
        <v>1362</v>
      </c>
      <c r="K33" s="1" t="s">
        <v>1363</v>
      </c>
      <c r="L33" s="1" t="s">
        <v>1362</v>
      </c>
      <c r="N33" s="1" t="s">
        <v>1364</v>
      </c>
      <c r="Q33" s="1">
        <v>1998</v>
      </c>
      <c r="R33" s="1" t="s">
        <v>1365</v>
      </c>
      <c r="S33" s="1" t="s">
        <v>27</v>
      </c>
      <c r="T33" s="6">
        <v>1</v>
      </c>
      <c r="Z33" s="1">
        <v>78.3</v>
      </c>
      <c r="AC33" s="1">
        <v>14.7</v>
      </c>
      <c r="AI33" s="1">
        <v>5.7</v>
      </c>
      <c r="AQ33" s="1">
        <v>0.9</v>
      </c>
      <c r="AV33" s="1">
        <v>0.9</v>
      </c>
      <c r="EW33" s="1">
        <v>57</v>
      </c>
    </row>
    <row r="34" spans="1:153" x14ac:dyDescent="0.2">
      <c r="A34" s="1" t="s">
        <v>1367</v>
      </c>
      <c r="B34" s="1" t="s">
        <v>55</v>
      </c>
      <c r="C34" s="1" t="s">
        <v>236</v>
      </c>
      <c r="D34" s="1" t="s">
        <v>2</v>
      </c>
      <c r="E34" s="1">
        <v>13</v>
      </c>
      <c r="F34" s="1" t="s">
        <v>1360</v>
      </c>
      <c r="H34" s="1" t="s">
        <v>1361</v>
      </c>
      <c r="I34" s="1" t="s">
        <v>7</v>
      </c>
      <c r="J34" s="1" t="s">
        <v>1362</v>
      </c>
      <c r="K34" s="1" t="s">
        <v>1363</v>
      </c>
      <c r="L34" s="1" t="s">
        <v>1362</v>
      </c>
      <c r="N34" s="1" t="s">
        <v>1364</v>
      </c>
      <c r="Q34" s="1">
        <v>1998</v>
      </c>
      <c r="R34" s="1" t="s">
        <v>1365</v>
      </c>
      <c r="S34" s="1" t="s">
        <v>27</v>
      </c>
      <c r="T34" s="6">
        <v>1</v>
      </c>
      <c r="Z34" s="1">
        <v>78.099999999999994</v>
      </c>
      <c r="AC34" s="1">
        <v>14.9</v>
      </c>
      <c r="AI34" s="1">
        <v>5.6</v>
      </c>
      <c r="AQ34" s="1">
        <v>0.7</v>
      </c>
      <c r="AV34" s="1">
        <v>0.9</v>
      </c>
      <c r="EW34" s="1">
        <v>58.9</v>
      </c>
    </row>
    <row r="35" spans="1:153" x14ac:dyDescent="0.2">
      <c r="A35" s="1" t="s">
        <v>1368</v>
      </c>
      <c r="B35" s="1" t="s">
        <v>55</v>
      </c>
      <c r="C35" s="1" t="s">
        <v>236</v>
      </c>
      <c r="D35" s="1" t="s">
        <v>2</v>
      </c>
      <c r="E35" s="1">
        <v>13</v>
      </c>
      <c r="F35" s="1" t="s">
        <v>1360</v>
      </c>
      <c r="H35" s="1" t="s">
        <v>1369</v>
      </c>
      <c r="I35" s="1" t="s">
        <v>11</v>
      </c>
      <c r="J35" s="1" t="s">
        <v>1362</v>
      </c>
      <c r="K35" s="1" t="s">
        <v>1363</v>
      </c>
      <c r="L35" s="1" t="s">
        <v>1362</v>
      </c>
      <c r="N35" s="1" t="s">
        <v>1370</v>
      </c>
      <c r="Q35" s="1">
        <v>1998</v>
      </c>
      <c r="R35" s="1" t="s">
        <v>1365</v>
      </c>
      <c r="S35" s="1" t="s">
        <v>27</v>
      </c>
      <c r="T35" s="6">
        <v>1</v>
      </c>
      <c r="Z35" s="1">
        <v>76.3</v>
      </c>
      <c r="AC35" s="1">
        <v>17.399999999999999</v>
      </c>
      <c r="AI35" s="1">
        <v>4.5999999999999996</v>
      </c>
      <c r="AQ35" s="1">
        <v>0.8</v>
      </c>
      <c r="AV35" s="1">
        <v>1</v>
      </c>
      <c r="EW35" s="1">
        <v>78.900000000000006</v>
      </c>
    </row>
    <row r="36" spans="1:153" x14ac:dyDescent="0.2">
      <c r="A36" s="1" t="s">
        <v>1371</v>
      </c>
      <c r="B36" s="1" t="s">
        <v>55</v>
      </c>
      <c r="C36" s="1" t="s">
        <v>236</v>
      </c>
      <c r="D36" s="1" t="s">
        <v>2</v>
      </c>
      <c r="E36" s="1">
        <v>13</v>
      </c>
      <c r="F36" s="1" t="s">
        <v>1360</v>
      </c>
      <c r="H36" s="1" t="s">
        <v>1372</v>
      </c>
      <c r="I36" s="1" t="s">
        <v>11</v>
      </c>
      <c r="J36" s="1" t="s">
        <v>1362</v>
      </c>
      <c r="K36" s="1" t="s">
        <v>1363</v>
      </c>
      <c r="L36" s="1" t="s">
        <v>1362</v>
      </c>
      <c r="N36" s="1" t="s">
        <v>1364</v>
      </c>
      <c r="Q36" s="1">
        <v>1998</v>
      </c>
      <c r="R36" s="1" t="s">
        <v>1365</v>
      </c>
      <c r="S36" s="1" t="s">
        <v>27</v>
      </c>
      <c r="T36" s="6">
        <v>1</v>
      </c>
      <c r="Z36" s="1">
        <v>75.099999999999994</v>
      </c>
      <c r="AC36" s="1">
        <v>18.399999999999999</v>
      </c>
      <c r="AI36" s="1">
        <v>4.9000000000000004</v>
      </c>
      <c r="AQ36" s="1">
        <v>0.8</v>
      </c>
      <c r="AV36" s="1">
        <v>0.9</v>
      </c>
      <c r="EW36" s="1">
        <v>80.7</v>
      </c>
    </row>
    <row r="37" spans="1:153" x14ac:dyDescent="0.2">
      <c r="A37" s="1" t="s">
        <v>1373</v>
      </c>
      <c r="B37" s="1" t="s">
        <v>55</v>
      </c>
      <c r="C37" s="1" t="s">
        <v>236</v>
      </c>
      <c r="D37" s="1" t="s">
        <v>2</v>
      </c>
      <c r="E37" s="1">
        <v>12</v>
      </c>
      <c r="F37" s="1" t="s">
        <v>1374</v>
      </c>
      <c r="H37" s="1" t="s">
        <v>1375</v>
      </c>
      <c r="I37" s="1" t="s">
        <v>7</v>
      </c>
      <c r="J37" s="1" t="s">
        <v>1376</v>
      </c>
      <c r="K37" s="1" t="s">
        <v>1377</v>
      </c>
      <c r="L37" s="1" t="s">
        <v>1376</v>
      </c>
      <c r="N37" s="1" t="s">
        <v>1378</v>
      </c>
      <c r="P37" s="1" t="s">
        <v>1270</v>
      </c>
      <c r="Q37" s="1">
        <v>2007</v>
      </c>
      <c r="R37" s="1" t="s">
        <v>1379</v>
      </c>
      <c r="S37" s="1" t="s">
        <v>27</v>
      </c>
      <c r="T37" s="6">
        <v>1</v>
      </c>
      <c r="U37" s="1">
        <v>0.312</v>
      </c>
      <c r="Z37" s="1">
        <v>76.3</v>
      </c>
      <c r="AA37" s="1">
        <v>6.25</v>
      </c>
      <c r="AC37" s="1">
        <v>17.399999999999999</v>
      </c>
      <c r="AI37" s="1">
        <v>0.97</v>
      </c>
      <c r="AV37" s="1">
        <v>1.08</v>
      </c>
    </row>
    <row r="38" spans="1:153" x14ac:dyDescent="0.2">
      <c r="A38" s="1" t="s">
        <v>1380</v>
      </c>
      <c r="B38" s="1" t="s">
        <v>55</v>
      </c>
      <c r="C38" s="1" t="s">
        <v>1381</v>
      </c>
      <c r="E38" s="1">
        <v>13</v>
      </c>
      <c r="F38" s="1" t="s">
        <v>1382</v>
      </c>
      <c r="G38" s="1" t="s">
        <v>1383</v>
      </c>
      <c r="H38" s="1" t="s">
        <v>1384</v>
      </c>
      <c r="I38" s="1" t="s">
        <v>7</v>
      </c>
      <c r="J38" s="1" t="s">
        <v>1385</v>
      </c>
      <c r="K38" s="1" t="s">
        <v>1386</v>
      </c>
      <c r="L38" s="1" t="s">
        <v>1385</v>
      </c>
      <c r="P38" s="1" t="s">
        <v>1387</v>
      </c>
      <c r="Q38" s="1">
        <v>1995</v>
      </c>
      <c r="R38" s="1" t="s">
        <v>1388</v>
      </c>
      <c r="S38" s="1" t="s">
        <v>27</v>
      </c>
      <c r="T38" s="6">
        <v>1</v>
      </c>
      <c r="AH38" s="1">
        <v>19.75</v>
      </c>
      <c r="AK38" s="1">
        <v>7.8003287639833703</v>
      </c>
      <c r="AM38" s="1">
        <v>2.4349941169273901</v>
      </c>
      <c r="AN38" s="1">
        <v>1.08882135387721</v>
      </c>
    </row>
    <row r="39" spans="1:153" x14ac:dyDescent="0.2">
      <c r="A39" s="1" t="s">
        <v>1389</v>
      </c>
      <c r="B39" s="1" t="s">
        <v>55</v>
      </c>
      <c r="C39" s="1" t="s">
        <v>1381</v>
      </c>
      <c r="E39" s="1">
        <v>11</v>
      </c>
      <c r="F39" s="1" t="s">
        <v>1390</v>
      </c>
      <c r="G39" s="1" t="s">
        <v>1391</v>
      </c>
      <c r="H39" s="1" t="s">
        <v>1392</v>
      </c>
      <c r="I39" s="1" t="s">
        <v>7</v>
      </c>
      <c r="J39" s="1" t="s">
        <v>1393</v>
      </c>
      <c r="K39" s="1" t="s">
        <v>1394</v>
      </c>
      <c r="L39" s="1" t="s">
        <v>1393</v>
      </c>
      <c r="P39" s="1" t="s">
        <v>1387</v>
      </c>
      <c r="Q39" s="1">
        <v>1995</v>
      </c>
      <c r="R39" s="1" t="s">
        <v>1388</v>
      </c>
      <c r="S39" s="1" t="s">
        <v>27</v>
      </c>
      <c r="T39" s="6">
        <v>1</v>
      </c>
      <c r="AH39" s="1">
        <v>1.19</v>
      </c>
      <c r="AK39" s="1">
        <v>0.25379851721706997</v>
      </c>
      <c r="AM39" s="1">
        <v>0.19352442647214699</v>
      </c>
      <c r="AN39" s="1">
        <v>5.1590289529099699E-2</v>
      </c>
    </row>
    <row r="40" spans="1:153" x14ac:dyDescent="0.2">
      <c r="A40" s="1" t="s">
        <v>1395</v>
      </c>
      <c r="B40" s="1" t="s">
        <v>55</v>
      </c>
      <c r="C40" s="1" t="s">
        <v>1381</v>
      </c>
      <c r="E40" s="1">
        <v>13</v>
      </c>
      <c r="G40" s="1" t="s">
        <v>1396</v>
      </c>
      <c r="H40" s="1" t="s">
        <v>1397</v>
      </c>
      <c r="I40" s="1" t="s">
        <v>7</v>
      </c>
      <c r="J40" s="1" t="s">
        <v>1398</v>
      </c>
      <c r="L40" s="1" t="s">
        <v>1399</v>
      </c>
      <c r="P40" s="1" t="s">
        <v>1387</v>
      </c>
      <c r="Q40" s="1">
        <v>1995</v>
      </c>
      <c r="R40" s="1" t="s">
        <v>1388</v>
      </c>
      <c r="S40" s="1" t="s">
        <v>27</v>
      </c>
      <c r="T40" s="6">
        <v>1</v>
      </c>
      <c r="AH40" s="1">
        <v>0.7</v>
      </c>
      <c r="AK40" s="1">
        <v>0.185520277662266</v>
      </c>
      <c r="AM40" s="1">
        <v>9.5246141857895802E-2</v>
      </c>
      <c r="AN40" s="1">
        <v>8.0512829131896793E-2</v>
      </c>
    </row>
    <row r="41" spans="1:153" x14ac:dyDescent="0.2">
      <c r="A41" s="1" t="s">
        <v>1400</v>
      </c>
      <c r="B41" s="1" t="s">
        <v>55</v>
      </c>
      <c r="C41" s="1" t="s">
        <v>1381</v>
      </c>
      <c r="E41" s="1">
        <v>13</v>
      </c>
      <c r="F41" s="1" t="s">
        <v>1401</v>
      </c>
      <c r="G41" s="1" t="s">
        <v>1402</v>
      </c>
      <c r="H41" s="1" t="s">
        <v>1403</v>
      </c>
      <c r="I41" s="1" t="s">
        <v>7</v>
      </c>
      <c r="J41" s="1" t="s">
        <v>1404</v>
      </c>
      <c r="K41" s="1" t="s">
        <v>1405</v>
      </c>
      <c r="L41" s="1" t="s">
        <v>1404</v>
      </c>
      <c r="P41" s="1" t="s">
        <v>1387</v>
      </c>
      <c r="Q41" s="1">
        <v>1995</v>
      </c>
      <c r="R41" s="1" t="s">
        <v>1388</v>
      </c>
      <c r="S41" s="1" t="s">
        <v>27</v>
      </c>
      <c r="T41" s="6">
        <v>1</v>
      </c>
      <c r="AH41" s="1">
        <v>3.18</v>
      </c>
      <c r="AK41" s="1">
        <v>1.0455276307038901</v>
      </c>
      <c r="AM41" s="1">
        <v>0.76984473618262395</v>
      </c>
      <c r="AN41" s="1">
        <v>0.16795751413801999</v>
      </c>
    </row>
    <row r="42" spans="1:153" x14ac:dyDescent="0.2">
      <c r="A42" s="1" t="s">
        <v>1406</v>
      </c>
      <c r="B42" s="1" t="s">
        <v>55</v>
      </c>
      <c r="C42" s="1" t="s">
        <v>1381</v>
      </c>
      <c r="E42" s="1">
        <v>33</v>
      </c>
      <c r="F42" s="1" t="s">
        <v>1407</v>
      </c>
      <c r="G42" s="1" t="s">
        <v>1408</v>
      </c>
      <c r="H42" s="1" t="s">
        <v>1409</v>
      </c>
      <c r="I42" s="1" t="s">
        <v>7</v>
      </c>
      <c r="J42" s="1" t="s">
        <v>1410</v>
      </c>
      <c r="K42" s="1" t="s">
        <v>1411</v>
      </c>
      <c r="L42" s="1" t="s">
        <v>1410</v>
      </c>
      <c r="P42" s="1" t="s">
        <v>1387</v>
      </c>
      <c r="Q42" s="1">
        <v>1995</v>
      </c>
      <c r="R42" s="1" t="s">
        <v>1388</v>
      </c>
      <c r="S42" s="1" t="s">
        <v>27</v>
      </c>
      <c r="T42" s="6">
        <v>1</v>
      </c>
      <c r="AH42" s="1">
        <v>0.69</v>
      </c>
      <c r="AK42" s="1">
        <v>0.193904175532123</v>
      </c>
      <c r="AM42" s="1">
        <v>0.13741522192809</v>
      </c>
      <c r="AN42" s="1">
        <v>7.2413724958178702E-2</v>
      </c>
    </row>
    <row r="43" spans="1:153" x14ac:dyDescent="0.2">
      <c r="A43" s="1" t="s">
        <v>1412</v>
      </c>
      <c r="B43" s="1" t="s">
        <v>55</v>
      </c>
      <c r="C43" s="1" t="s">
        <v>1381</v>
      </c>
      <c r="E43" s="1">
        <v>13</v>
      </c>
      <c r="F43" s="1" t="s">
        <v>1413</v>
      </c>
      <c r="G43" s="1" t="s">
        <v>1414</v>
      </c>
      <c r="H43" s="1" t="s">
        <v>1415</v>
      </c>
      <c r="I43" s="1" t="s">
        <v>7</v>
      </c>
      <c r="J43" s="1" t="s">
        <v>1416</v>
      </c>
      <c r="K43" s="1" t="s">
        <v>1417</v>
      </c>
      <c r="L43" s="1" t="s">
        <v>1416</v>
      </c>
      <c r="P43" s="1" t="s">
        <v>1387</v>
      </c>
      <c r="Q43" s="1">
        <v>1995</v>
      </c>
      <c r="R43" s="1" t="s">
        <v>1388</v>
      </c>
      <c r="S43" s="1" t="s">
        <v>27</v>
      </c>
      <c r="T43" s="6">
        <v>1</v>
      </c>
      <c r="AH43" s="1">
        <v>3.68</v>
      </c>
      <c r="AK43" s="1">
        <v>1.49409894394645</v>
      </c>
      <c r="AM43" s="1">
        <v>0.66525226283294103</v>
      </c>
      <c r="AN43" s="1">
        <v>8.0756323984750203E-2</v>
      </c>
    </row>
    <row r="44" spans="1:153" x14ac:dyDescent="0.2">
      <c r="A44" s="1" t="s">
        <v>1418</v>
      </c>
      <c r="B44" s="1" t="s">
        <v>55</v>
      </c>
      <c r="C44" s="1" t="s">
        <v>1381</v>
      </c>
      <c r="E44" s="1">
        <v>13</v>
      </c>
      <c r="F44" s="1" t="s">
        <v>1419</v>
      </c>
      <c r="G44" s="1" t="s">
        <v>1420</v>
      </c>
      <c r="H44" s="1" t="s">
        <v>1421</v>
      </c>
      <c r="I44" s="1" t="s">
        <v>7</v>
      </c>
      <c r="J44" s="1" t="s">
        <v>1422</v>
      </c>
      <c r="K44" s="1" t="s">
        <v>1423</v>
      </c>
      <c r="L44" s="1" t="s">
        <v>1422</v>
      </c>
      <c r="P44" s="1" t="s">
        <v>1387</v>
      </c>
      <c r="Q44" s="1">
        <v>1995</v>
      </c>
      <c r="R44" s="1" t="s">
        <v>1388</v>
      </c>
      <c r="S44" s="1" t="s">
        <v>27</v>
      </c>
      <c r="T44" s="6">
        <v>1</v>
      </c>
      <c r="AH44" s="1">
        <v>0.88</v>
      </c>
      <c r="AK44" s="1">
        <v>0.34612028038398301</v>
      </c>
      <c r="AM44" s="1">
        <v>0.21067936335854801</v>
      </c>
      <c r="AN44" s="1">
        <v>1.9336200525773201E-2</v>
      </c>
    </row>
    <row r="45" spans="1:153" x14ac:dyDescent="0.2">
      <c r="A45" s="1" t="s">
        <v>1424</v>
      </c>
      <c r="B45" s="1" t="s">
        <v>55</v>
      </c>
      <c r="C45" s="1" t="s">
        <v>1381</v>
      </c>
      <c r="E45" s="1">
        <v>13</v>
      </c>
      <c r="F45" s="1" t="s">
        <v>1425</v>
      </c>
      <c r="G45" s="1" t="s">
        <v>1426</v>
      </c>
      <c r="H45" s="1" t="s">
        <v>1397</v>
      </c>
      <c r="I45" s="1" t="s">
        <v>7</v>
      </c>
      <c r="J45" s="1" t="s">
        <v>1427</v>
      </c>
      <c r="L45" s="1" t="s">
        <v>1428</v>
      </c>
      <c r="P45" s="1" t="s">
        <v>1387</v>
      </c>
      <c r="Q45" s="1">
        <v>1995</v>
      </c>
      <c r="R45" s="1" t="s">
        <v>1388</v>
      </c>
      <c r="S45" s="1" t="s">
        <v>27</v>
      </c>
      <c r="T45" s="6">
        <v>1</v>
      </c>
      <c r="AH45" s="1">
        <v>2.98</v>
      </c>
      <c r="AK45" s="1">
        <v>0.99420594622678604</v>
      </c>
      <c r="AM45" s="1">
        <v>1.17710728661372</v>
      </c>
      <c r="AN45" s="1">
        <v>5.2320732817454801E-4</v>
      </c>
    </row>
    <row r="46" spans="1:153" x14ac:dyDescent="0.2">
      <c r="A46" s="1" t="s">
        <v>1429</v>
      </c>
      <c r="B46" s="1" t="s">
        <v>55</v>
      </c>
      <c r="C46" s="1" t="s">
        <v>1381</v>
      </c>
      <c r="E46" s="1">
        <v>13</v>
      </c>
      <c r="F46" s="1" t="s">
        <v>1430</v>
      </c>
      <c r="G46" s="1" t="s">
        <v>1431</v>
      </c>
      <c r="H46" s="1" t="s">
        <v>1397</v>
      </c>
      <c r="I46" s="1" t="s">
        <v>7</v>
      </c>
      <c r="J46" s="1" t="s">
        <v>1432</v>
      </c>
      <c r="P46" s="1" t="s">
        <v>1387</v>
      </c>
      <c r="Q46" s="1">
        <v>1995</v>
      </c>
      <c r="R46" s="1" t="s">
        <v>1388</v>
      </c>
      <c r="S46" s="1" t="s">
        <v>27</v>
      </c>
      <c r="T46" s="6">
        <v>1</v>
      </c>
      <c r="AH46" s="1">
        <v>5.5</v>
      </c>
      <c r="AK46" s="1">
        <v>1.98462092979968</v>
      </c>
      <c r="AM46" s="1">
        <v>0.53505910706954096</v>
      </c>
      <c r="AN46" s="1">
        <v>0.14421573393893</v>
      </c>
    </row>
    <row r="47" spans="1:153" x14ac:dyDescent="0.2">
      <c r="A47" s="1" t="s">
        <v>1433</v>
      </c>
      <c r="B47" s="1" t="s">
        <v>55</v>
      </c>
      <c r="C47" s="1" t="s">
        <v>1381</v>
      </c>
      <c r="E47" s="1">
        <v>13</v>
      </c>
      <c r="F47" s="1" t="s">
        <v>1434</v>
      </c>
      <c r="G47" s="1" t="s">
        <v>1435</v>
      </c>
      <c r="H47" s="1" t="s">
        <v>1436</v>
      </c>
      <c r="I47" s="1" t="s">
        <v>7</v>
      </c>
      <c r="J47" s="1" t="s">
        <v>1437</v>
      </c>
      <c r="K47" s="1" t="s">
        <v>1435</v>
      </c>
      <c r="L47" s="1" t="s">
        <v>1438</v>
      </c>
      <c r="P47" s="1" t="s">
        <v>1387</v>
      </c>
      <c r="Q47" s="1">
        <v>1995</v>
      </c>
      <c r="R47" s="1" t="s">
        <v>1388</v>
      </c>
      <c r="S47" s="1" t="s">
        <v>27</v>
      </c>
      <c r="T47" s="6">
        <v>1</v>
      </c>
      <c r="AH47" s="1">
        <v>18.309999999999999</v>
      </c>
      <c r="AK47" s="1">
        <v>7.4436766368622704</v>
      </c>
      <c r="AM47" s="1">
        <v>1.2680497837824101</v>
      </c>
      <c r="AN47" s="1">
        <v>0.232599370951481</v>
      </c>
    </row>
    <row r="48" spans="1:153" x14ac:dyDescent="0.2">
      <c r="A48" s="1" t="s">
        <v>1439</v>
      </c>
      <c r="B48" s="1" t="s">
        <v>55</v>
      </c>
      <c r="C48" s="1" t="s">
        <v>1381</v>
      </c>
      <c r="E48" s="1">
        <v>13</v>
      </c>
      <c r="G48" s="1" t="s">
        <v>1440</v>
      </c>
      <c r="H48" s="1" t="s">
        <v>1397</v>
      </c>
      <c r="I48" s="1" t="s">
        <v>7</v>
      </c>
      <c r="J48" s="1" t="s">
        <v>1441</v>
      </c>
      <c r="L48" s="1" t="s">
        <v>1442</v>
      </c>
      <c r="P48" s="1" t="s">
        <v>1387</v>
      </c>
      <c r="Q48" s="1">
        <v>1995</v>
      </c>
      <c r="R48" s="1" t="s">
        <v>1388</v>
      </c>
      <c r="S48" s="1" t="s">
        <v>27</v>
      </c>
      <c r="T48" s="6">
        <v>1</v>
      </c>
      <c r="AH48" s="1">
        <v>9.17</v>
      </c>
      <c r="AK48" s="1">
        <v>2.8368684411876002</v>
      </c>
      <c r="AM48" s="1">
        <v>0.579684017970032</v>
      </c>
      <c r="AN48" s="1">
        <v>0.622176812689893</v>
      </c>
    </row>
    <row r="49" spans="1:48" x14ac:dyDescent="0.2">
      <c r="A49" s="1" t="s">
        <v>1443</v>
      </c>
      <c r="B49" s="1" t="s">
        <v>55</v>
      </c>
      <c r="C49" s="1" t="s">
        <v>1381</v>
      </c>
      <c r="E49" s="1">
        <v>13</v>
      </c>
      <c r="F49" s="1" t="s">
        <v>1444</v>
      </c>
      <c r="G49" s="1" t="s">
        <v>1445</v>
      </c>
      <c r="H49" s="1" t="s">
        <v>1397</v>
      </c>
      <c r="I49" s="1" t="s">
        <v>7</v>
      </c>
      <c r="J49" s="1" t="s">
        <v>1446</v>
      </c>
      <c r="L49" s="1" t="s">
        <v>1446</v>
      </c>
      <c r="P49" s="1" t="s">
        <v>1387</v>
      </c>
      <c r="Q49" s="1">
        <v>1995</v>
      </c>
      <c r="R49" s="1" t="s">
        <v>1388</v>
      </c>
      <c r="S49" s="1" t="s">
        <v>27</v>
      </c>
      <c r="T49" s="6">
        <v>1</v>
      </c>
      <c r="AH49" s="1">
        <v>2.6</v>
      </c>
      <c r="AK49" s="1">
        <v>0.69543012134510596</v>
      </c>
      <c r="AM49" s="1">
        <v>0.39319180253761699</v>
      </c>
      <c r="AN49" s="1">
        <v>0.21225378284513299</v>
      </c>
    </row>
    <row r="50" spans="1:48" x14ac:dyDescent="0.2">
      <c r="A50" s="1" t="s">
        <v>1447</v>
      </c>
      <c r="B50" s="1" t="s">
        <v>55</v>
      </c>
      <c r="C50" s="1" t="s">
        <v>1381</v>
      </c>
      <c r="E50" s="1">
        <v>13</v>
      </c>
      <c r="F50" s="1" t="s">
        <v>1448</v>
      </c>
      <c r="G50" s="1" t="s">
        <v>1449</v>
      </c>
      <c r="H50" s="1" t="s">
        <v>1450</v>
      </c>
      <c r="I50" s="1" t="s">
        <v>7</v>
      </c>
      <c r="J50" s="1" t="s">
        <v>1451</v>
      </c>
      <c r="K50" s="1" t="s">
        <v>1452</v>
      </c>
      <c r="L50" s="1" t="s">
        <v>1451</v>
      </c>
      <c r="P50" s="1" t="s">
        <v>1387</v>
      </c>
      <c r="Q50" s="1">
        <v>1995</v>
      </c>
      <c r="R50" s="1" t="s">
        <v>1388</v>
      </c>
      <c r="S50" s="1" t="s">
        <v>27</v>
      </c>
      <c r="T50" s="6">
        <v>1</v>
      </c>
      <c r="AH50" s="1">
        <v>1.27</v>
      </c>
      <c r="AK50" s="1">
        <v>0.39463500430358101</v>
      </c>
      <c r="AM50" s="1">
        <v>0.216323536438665</v>
      </c>
      <c r="AN50" s="1">
        <v>0.13251248960661799</v>
      </c>
    </row>
    <row r="51" spans="1:48" x14ac:dyDescent="0.2">
      <c r="A51" s="1" t="s">
        <v>1453</v>
      </c>
      <c r="B51" s="1" t="s">
        <v>55</v>
      </c>
      <c r="C51" s="1" t="s">
        <v>1381</v>
      </c>
      <c r="E51" s="1">
        <v>13</v>
      </c>
      <c r="G51" s="1" t="s">
        <v>1454</v>
      </c>
      <c r="H51" s="1" t="s">
        <v>1397</v>
      </c>
      <c r="I51" s="1" t="s">
        <v>7</v>
      </c>
      <c r="J51" s="1" t="s">
        <v>1455</v>
      </c>
      <c r="L51" s="1" t="s">
        <v>1456</v>
      </c>
      <c r="P51" s="1" t="s">
        <v>1387</v>
      </c>
      <c r="Q51" s="1">
        <v>1995</v>
      </c>
      <c r="R51" s="1" t="s">
        <v>1388</v>
      </c>
      <c r="S51" s="1" t="s">
        <v>27</v>
      </c>
      <c r="T51" s="6">
        <v>1</v>
      </c>
      <c r="AH51" s="1">
        <v>0.7</v>
      </c>
      <c r="AK51" s="1">
        <v>0.171063396039393</v>
      </c>
      <c r="AM51" s="1">
        <v>0.11198243364303399</v>
      </c>
      <c r="AN51" s="1">
        <v>4.9890147442175702E-2</v>
      </c>
    </row>
    <row r="52" spans="1:48" x14ac:dyDescent="0.2">
      <c r="A52" s="1" t="s">
        <v>1457</v>
      </c>
      <c r="B52" s="1" t="s">
        <v>55</v>
      </c>
      <c r="C52" s="1" t="s">
        <v>1381</v>
      </c>
      <c r="E52" s="1">
        <v>12</v>
      </c>
      <c r="F52" s="1" t="s">
        <v>1374</v>
      </c>
      <c r="G52" s="1" t="s">
        <v>1458</v>
      </c>
      <c r="H52" s="1" t="s">
        <v>1459</v>
      </c>
      <c r="I52" s="1" t="s">
        <v>7</v>
      </c>
      <c r="J52" s="1" t="s">
        <v>1376</v>
      </c>
      <c r="K52" s="1" t="s">
        <v>1377</v>
      </c>
      <c r="L52" s="1" t="s">
        <v>1376</v>
      </c>
      <c r="P52" s="1" t="s">
        <v>1387</v>
      </c>
      <c r="Q52" s="1">
        <v>1995</v>
      </c>
      <c r="R52" s="1" t="s">
        <v>1388</v>
      </c>
      <c r="S52" s="1" t="s">
        <v>27</v>
      </c>
      <c r="T52" s="6">
        <v>1</v>
      </c>
      <c r="AH52" s="1">
        <v>2.86</v>
      </c>
      <c r="AK52" s="1">
        <v>0.97185486109956398</v>
      </c>
      <c r="AM52" s="1">
        <v>0.414154931589931</v>
      </c>
      <c r="AN52" s="1">
        <v>2.15795390840294E-2</v>
      </c>
    </row>
    <row r="53" spans="1:48" x14ac:dyDescent="0.2">
      <c r="A53" s="1" t="s">
        <v>1460</v>
      </c>
      <c r="B53" s="1" t="s">
        <v>55</v>
      </c>
      <c r="C53" s="1" t="s">
        <v>1381</v>
      </c>
      <c r="E53" s="1">
        <v>13</v>
      </c>
      <c r="G53" s="1" t="s">
        <v>1461</v>
      </c>
      <c r="H53" s="1" t="s">
        <v>1397</v>
      </c>
      <c r="I53" s="1" t="s">
        <v>7</v>
      </c>
      <c r="J53" s="1" t="s">
        <v>1462</v>
      </c>
      <c r="L53" s="1" t="s">
        <v>1463</v>
      </c>
      <c r="P53" s="1" t="s">
        <v>1387</v>
      </c>
      <c r="Q53" s="1">
        <v>1995</v>
      </c>
      <c r="R53" s="1" t="s">
        <v>1388</v>
      </c>
      <c r="S53" s="1" t="s">
        <v>27</v>
      </c>
      <c r="T53" s="6">
        <v>1</v>
      </c>
      <c r="AH53" s="1">
        <v>0.27</v>
      </c>
      <c r="AK53" s="1">
        <v>3.92805385316186E-2</v>
      </c>
      <c r="AM53" s="1">
        <v>2.52797620612101E-2</v>
      </c>
      <c r="AN53" s="1">
        <v>3.6980393396536797E-2</v>
      </c>
    </row>
    <row r="54" spans="1:48" x14ac:dyDescent="0.2">
      <c r="A54" s="1" t="s">
        <v>1464</v>
      </c>
      <c r="B54" s="1" t="s">
        <v>55</v>
      </c>
      <c r="C54" s="1" t="s">
        <v>1381</v>
      </c>
      <c r="E54" s="1">
        <v>23</v>
      </c>
      <c r="F54" s="1" t="s">
        <v>1465</v>
      </c>
      <c r="G54" s="1" t="s">
        <v>1466</v>
      </c>
      <c r="H54" s="1" t="s">
        <v>1397</v>
      </c>
      <c r="I54" s="1" t="s">
        <v>7</v>
      </c>
      <c r="J54" s="1" t="s">
        <v>1467</v>
      </c>
      <c r="K54" s="1" t="s">
        <v>1468</v>
      </c>
      <c r="L54" s="1" t="s">
        <v>1469</v>
      </c>
      <c r="P54" s="1" t="s">
        <v>1387</v>
      </c>
      <c r="Q54" s="1">
        <v>1995</v>
      </c>
      <c r="R54" s="1" t="s">
        <v>1388</v>
      </c>
      <c r="S54" s="1" t="s">
        <v>27</v>
      </c>
      <c r="T54" s="6">
        <v>1</v>
      </c>
      <c r="AH54" s="1">
        <v>6.42</v>
      </c>
      <c r="AK54" s="1">
        <v>1.7601970458709899</v>
      </c>
      <c r="AM54" s="1">
        <v>1.7302756624973299</v>
      </c>
      <c r="AN54" s="1">
        <v>0.30014149664531198</v>
      </c>
    </row>
    <row r="55" spans="1:48" x14ac:dyDescent="0.2">
      <c r="A55" s="1" t="s">
        <v>1470</v>
      </c>
      <c r="B55" s="1" t="s">
        <v>55</v>
      </c>
      <c r="C55" s="1" t="s">
        <v>1471</v>
      </c>
      <c r="D55" s="1" t="s">
        <v>2</v>
      </c>
      <c r="E55" s="1">
        <v>23</v>
      </c>
      <c r="F55" s="1" t="s">
        <v>1472</v>
      </c>
      <c r="H55" s="1" t="s">
        <v>1473</v>
      </c>
      <c r="I55" s="1" t="s">
        <v>7</v>
      </c>
      <c r="J55" s="1" t="s">
        <v>1474</v>
      </c>
      <c r="K55" s="1" t="s">
        <v>1475</v>
      </c>
      <c r="L55" s="1" t="s">
        <v>1474</v>
      </c>
      <c r="N55" s="1" t="s">
        <v>1476</v>
      </c>
      <c r="O55" s="1">
        <v>1</v>
      </c>
      <c r="Q55" s="1">
        <v>2004</v>
      </c>
      <c r="R55" s="1" t="s">
        <v>1477</v>
      </c>
      <c r="S55" s="1" t="s">
        <v>27</v>
      </c>
      <c r="T55" s="6">
        <v>1</v>
      </c>
      <c r="Z55" s="1">
        <v>73.38</v>
      </c>
      <c r="AA55" s="1">
        <v>6.2</v>
      </c>
      <c r="AC55" s="1">
        <v>19.8</v>
      </c>
      <c r="AI55" s="1">
        <v>3.44</v>
      </c>
      <c r="AV55" s="1">
        <v>1.35</v>
      </c>
    </row>
    <row r="56" spans="1:48" x14ac:dyDescent="0.2">
      <c r="A56" s="1" t="s">
        <v>1478</v>
      </c>
      <c r="B56" s="1" t="s">
        <v>55</v>
      </c>
      <c r="C56" s="1" t="s">
        <v>1471</v>
      </c>
      <c r="D56" s="1" t="s">
        <v>2</v>
      </c>
      <c r="E56" s="1">
        <v>23</v>
      </c>
      <c r="F56" s="1" t="s">
        <v>1472</v>
      </c>
      <c r="H56" s="1" t="s">
        <v>1479</v>
      </c>
      <c r="I56" s="1" t="s">
        <v>11</v>
      </c>
      <c r="J56" s="1" t="s">
        <v>1474</v>
      </c>
      <c r="K56" s="1" t="s">
        <v>1475</v>
      </c>
      <c r="L56" s="1" t="s">
        <v>1474</v>
      </c>
      <c r="N56" s="1" t="s">
        <v>1480</v>
      </c>
      <c r="O56" s="1">
        <v>1</v>
      </c>
      <c r="Q56" s="1">
        <v>2004</v>
      </c>
      <c r="R56" s="1" t="s">
        <v>1477</v>
      </c>
      <c r="S56" s="1" t="s">
        <v>27</v>
      </c>
      <c r="T56" s="6">
        <v>1</v>
      </c>
      <c r="Z56" s="1" t="s">
        <v>1481</v>
      </c>
      <c r="AA56" s="1">
        <v>6.2</v>
      </c>
      <c r="AC56" s="1" t="s">
        <v>1482</v>
      </c>
      <c r="AI56" s="1" t="s">
        <v>1483</v>
      </c>
      <c r="AV56" s="1" t="s">
        <v>1484</v>
      </c>
    </row>
    <row r="57" spans="1:48" x14ac:dyDescent="0.2">
      <c r="A57" s="1" t="s">
        <v>1485</v>
      </c>
      <c r="B57" s="1" t="s">
        <v>55</v>
      </c>
      <c r="C57" s="1" t="s">
        <v>1471</v>
      </c>
      <c r="D57" s="1" t="s">
        <v>2</v>
      </c>
      <c r="E57" s="1">
        <v>23</v>
      </c>
      <c r="F57" s="1" t="s">
        <v>1472</v>
      </c>
      <c r="H57" s="1" t="s">
        <v>1486</v>
      </c>
      <c r="I57" s="1" t="s">
        <v>11</v>
      </c>
      <c r="J57" s="1" t="s">
        <v>1474</v>
      </c>
      <c r="K57" s="1" t="s">
        <v>1475</v>
      </c>
      <c r="L57" s="1" t="s">
        <v>1474</v>
      </c>
      <c r="N57" s="1" t="s">
        <v>1487</v>
      </c>
      <c r="O57" s="1">
        <v>1</v>
      </c>
      <c r="Q57" s="1">
        <v>2004</v>
      </c>
      <c r="R57" s="1" t="s">
        <v>1477</v>
      </c>
      <c r="S57" s="1" t="s">
        <v>27</v>
      </c>
      <c r="T57" s="6">
        <v>1</v>
      </c>
      <c r="Z57" s="1" t="s">
        <v>1488</v>
      </c>
      <c r="AA57" s="1">
        <v>6.2</v>
      </c>
      <c r="AC57" s="1" t="s">
        <v>1489</v>
      </c>
      <c r="AI57" s="1" t="s">
        <v>1490</v>
      </c>
      <c r="AV57" s="1" t="s">
        <v>1491</v>
      </c>
    </row>
    <row r="58" spans="1:48" x14ac:dyDescent="0.2">
      <c r="A58" s="1" t="s">
        <v>1492</v>
      </c>
      <c r="B58" s="1" t="s">
        <v>55</v>
      </c>
      <c r="C58" s="1" t="s">
        <v>1471</v>
      </c>
      <c r="D58" s="1" t="s">
        <v>2</v>
      </c>
      <c r="E58" s="1">
        <v>23</v>
      </c>
      <c r="F58" s="1" t="s">
        <v>1472</v>
      </c>
      <c r="H58" s="1" t="s">
        <v>1493</v>
      </c>
      <c r="I58" s="1" t="s">
        <v>11</v>
      </c>
      <c r="J58" s="1" t="s">
        <v>1474</v>
      </c>
      <c r="K58" s="1" t="s">
        <v>1475</v>
      </c>
      <c r="L58" s="1" t="s">
        <v>1474</v>
      </c>
      <c r="N58" s="1" t="s">
        <v>1476</v>
      </c>
      <c r="O58" s="1">
        <v>1</v>
      </c>
      <c r="Q58" s="1">
        <v>2004</v>
      </c>
      <c r="R58" s="1" t="s">
        <v>1477</v>
      </c>
      <c r="S58" s="1" t="s">
        <v>27</v>
      </c>
      <c r="T58" s="6">
        <v>1</v>
      </c>
      <c r="Z58" s="1" t="s">
        <v>1494</v>
      </c>
      <c r="AA58" s="1">
        <v>6.2</v>
      </c>
      <c r="AC58" s="1" t="s">
        <v>1495</v>
      </c>
      <c r="AI58" s="1" t="s">
        <v>1496</v>
      </c>
      <c r="AV58" s="1" t="s">
        <v>1497</v>
      </c>
    </row>
    <row r="59" spans="1:48" x14ac:dyDescent="0.2">
      <c r="A59" s="1" t="s">
        <v>1498</v>
      </c>
      <c r="B59" s="1" t="s">
        <v>55</v>
      </c>
      <c r="C59" s="1" t="s">
        <v>1471</v>
      </c>
      <c r="D59" s="1" t="s">
        <v>2</v>
      </c>
      <c r="E59" s="1">
        <v>23</v>
      </c>
      <c r="F59" s="1" t="s">
        <v>1472</v>
      </c>
      <c r="H59" s="1" t="s">
        <v>1499</v>
      </c>
      <c r="I59" s="1" t="s">
        <v>11</v>
      </c>
      <c r="J59" s="1" t="s">
        <v>1474</v>
      </c>
      <c r="K59" s="1" t="s">
        <v>1475</v>
      </c>
      <c r="L59" s="1" t="s">
        <v>1474</v>
      </c>
      <c r="N59" s="1" t="s">
        <v>1500</v>
      </c>
      <c r="O59" s="1">
        <v>1</v>
      </c>
      <c r="Q59" s="1">
        <v>2004</v>
      </c>
      <c r="R59" s="1" t="s">
        <v>1477</v>
      </c>
      <c r="S59" s="1" t="s">
        <v>27</v>
      </c>
      <c r="T59" s="6">
        <v>1</v>
      </c>
      <c r="Z59" s="1">
        <v>65.83</v>
      </c>
      <c r="AA59" s="1">
        <v>6.2</v>
      </c>
      <c r="AC59" s="1">
        <v>25</v>
      </c>
      <c r="AI59" s="1">
        <v>5.95</v>
      </c>
      <c r="AV59" s="1">
        <v>1.54</v>
      </c>
    </row>
    <row r="60" spans="1:48" x14ac:dyDescent="0.2">
      <c r="A60" s="1" t="s">
        <v>1501</v>
      </c>
      <c r="B60" s="1" t="s">
        <v>55</v>
      </c>
      <c r="C60" s="1" t="s">
        <v>1471</v>
      </c>
      <c r="D60" s="1" t="s">
        <v>2</v>
      </c>
      <c r="E60" s="1">
        <v>23</v>
      </c>
      <c r="F60" s="1" t="s">
        <v>1472</v>
      </c>
      <c r="H60" s="1" t="s">
        <v>1502</v>
      </c>
      <c r="I60" s="1" t="s">
        <v>11</v>
      </c>
      <c r="J60" s="1" t="s">
        <v>1474</v>
      </c>
      <c r="K60" s="1" t="s">
        <v>1475</v>
      </c>
      <c r="L60" s="1" t="s">
        <v>1474</v>
      </c>
      <c r="N60" s="1" t="s">
        <v>1503</v>
      </c>
      <c r="O60" s="1">
        <v>1</v>
      </c>
      <c r="Q60" s="1">
        <v>2004</v>
      </c>
      <c r="R60" s="1" t="s">
        <v>1477</v>
      </c>
      <c r="S60" s="1" t="s">
        <v>27</v>
      </c>
      <c r="T60" s="6">
        <v>1</v>
      </c>
      <c r="Z60" s="1">
        <v>63.52</v>
      </c>
      <c r="AA60" s="1">
        <v>6.2</v>
      </c>
      <c r="AC60" s="1">
        <v>29.04</v>
      </c>
      <c r="AI60" s="1">
        <v>4.5199999999999996</v>
      </c>
      <c r="AV60" s="1">
        <v>1.53</v>
      </c>
    </row>
    <row r="61" spans="1:48" x14ac:dyDescent="0.2">
      <c r="A61" s="1" t="s">
        <v>1504</v>
      </c>
      <c r="B61" s="1" t="s">
        <v>55</v>
      </c>
      <c r="C61" s="1" t="s">
        <v>236</v>
      </c>
      <c r="D61" s="1" t="s">
        <v>2</v>
      </c>
      <c r="E61" s="1">
        <v>21</v>
      </c>
      <c r="F61" s="1" t="s">
        <v>1505</v>
      </c>
      <c r="H61" s="1" t="s">
        <v>1506</v>
      </c>
      <c r="I61" s="1" t="s">
        <v>7</v>
      </c>
      <c r="J61" s="1" t="s">
        <v>1507</v>
      </c>
      <c r="K61" s="1" t="s">
        <v>1508</v>
      </c>
      <c r="L61" s="1" t="s">
        <v>1509</v>
      </c>
      <c r="N61" s="1" t="s">
        <v>1510</v>
      </c>
      <c r="Q61" s="1">
        <v>2005</v>
      </c>
      <c r="R61" s="1" t="s">
        <v>1511</v>
      </c>
      <c r="S61" s="1" t="s">
        <v>27</v>
      </c>
      <c r="T61" s="6">
        <v>1</v>
      </c>
      <c r="U61" s="1">
        <v>0.26</v>
      </c>
      <c r="Z61" s="1" t="s">
        <v>1512</v>
      </c>
      <c r="AA61" s="1">
        <v>6.25</v>
      </c>
      <c r="AC61" s="1" t="s">
        <v>1513</v>
      </c>
      <c r="AI61" s="1" t="s">
        <v>1514</v>
      </c>
      <c r="AV61" s="1" t="s">
        <v>1515</v>
      </c>
    </row>
    <row r="62" spans="1:48" x14ac:dyDescent="0.2">
      <c r="A62" s="1" t="s">
        <v>1516</v>
      </c>
      <c r="B62" s="1" t="s">
        <v>55</v>
      </c>
      <c r="C62" s="1" t="s">
        <v>236</v>
      </c>
      <c r="D62" s="1" t="s">
        <v>2</v>
      </c>
      <c r="E62" s="1">
        <v>21</v>
      </c>
      <c r="F62" s="1" t="s">
        <v>1517</v>
      </c>
      <c r="H62" s="1" t="s">
        <v>1518</v>
      </c>
      <c r="I62" s="1" t="s">
        <v>7</v>
      </c>
      <c r="J62" s="1" t="s">
        <v>1519</v>
      </c>
      <c r="K62" s="1" t="s">
        <v>1520</v>
      </c>
      <c r="L62" s="1" t="s">
        <v>1521</v>
      </c>
      <c r="N62" s="1" t="s">
        <v>1522</v>
      </c>
      <c r="Q62" s="1">
        <v>2005</v>
      </c>
      <c r="R62" s="1" t="s">
        <v>1511</v>
      </c>
      <c r="S62" s="1" t="s">
        <v>27</v>
      </c>
      <c r="T62" s="6">
        <v>1</v>
      </c>
      <c r="U62" s="1">
        <v>0.32</v>
      </c>
      <c r="Z62" s="1" t="s">
        <v>1523</v>
      </c>
      <c r="AA62" s="1">
        <v>6.25</v>
      </c>
      <c r="AC62" s="1" t="s">
        <v>1524</v>
      </c>
      <c r="AI62" s="1" t="s">
        <v>1525</v>
      </c>
      <c r="AV62" s="1" t="s">
        <v>1526</v>
      </c>
    </row>
    <row r="63" spans="1:48" x14ac:dyDescent="0.2">
      <c r="A63" s="1" t="s">
        <v>1527</v>
      </c>
      <c r="B63" s="1" t="s">
        <v>55</v>
      </c>
      <c r="C63" s="1" t="s">
        <v>1528</v>
      </c>
      <c r="D63" s="1" t="s">
        <v>2</v>
      </c>
      <c r="E63" s="1">
        <v>22</v>
      </c>
      <c r="F63" s="1" t="s">
        <v>1529</v>
      </c>
      <c r="H63" s="1" t="s">
        <v>1530</v>
      </c>
      <c r="I63" s="1" t="s">
        <v>7</v>
      </c>
      <c r="J63" s="1" t="s">
        <v>1531</v>
      </c>
      <c r="K63" s="1" t="s">
        <v>1532</v>
      </c>
      <c r="L63" s="1" t="s">
        <v>1531</v>
      </c>
      <c r="N63" s="1" t="s">
        <v>1533</v>
      </c>
      <c r="P63" s="1" t="s">
        <v>1534</v>
      </c>
      <c r="Q63" s="1">
        <v>1981</v>
      </c>
      <c r="R63" s="1" t="s">
        <v>1535</v>
      </c>
      <c r="S63" s="1" t="s">
        <v>27</v>
      </c>
      <c r="T63" s="6">
        <v>1</v>
      </c>
      <c r="U63" s="1">
        <v>0.495</v>
      </c>
      <c r="Z63" s="1">
        <v>67.3</v>
      </c>
      <c r="AE63" s="1">
        <v>16</v>
      </c>
      <c r="AI63" s="1">
        <v>14.7</v>
      </c>
      <c r="AK63" s="1">
        <v>3.8951927</v>
      </c>
      <c r="AL63" s="1">
        <v>7.1796408999999999</v>
      </c>
      <c r="AM63" s="1">
        <v>2.0901033999999998</v>
      </c>
    </row>
    <row r="64" spans="1:48" x14ac:dyDescent="0.2">
      <c r="A64" s="1" t="s">
        <v>1536</v>
      </c>
      <c r="B64" s="1" t="s">
        <v>55</v>
      </c>
      <c r="C64" s="1" t="s">
        <v>1537</v>
      </c>
      <c r="D64" s="1" t="s">
        <v>2</v>
      </c>
      <c r="E64" s="1">
        <v>13</v>
      </c>
      <c r="F64" s="1" t="s">
        <v>1538</v>
      </c>
      <c r="G64" s="1" t="s">
        <v>1539</v>
      </c>
      <c r="H64" s="1" t="s">
        <v>1540</v>
      </c>
      <c r="I64" s="1" t="s">
        <v>7</v>
      </c>
      <c r="J64" s="1" t="s">
        <v>1541</v>
      </c>
      <c r="K64" s="1" t="s">
        <v>1542</v>
      </c>
      <c r="L64" s="1" t="s">
        <v>1541</v>
      </c>
      <c r="M64" s="1" t="s">
        <v>1543</v>
      </c>
      <c r="N64" s="1" t="s">
        <v>1544</v>
      </c>
      <c r="Q64" s="1">
        <v>2010</v>
      </c>
      <c r="R64" s="1" t="s">
        <v>1545</v>
      </c>
      <c r="S64" s="1" t="s">
        <v>27</v>
      </c>
      <c r="T64" s="6">
        <v>1</v>
      </c>
      <c r="W64" s="1">
        <v>110.62</v>
      </c>
      <c r="Z64" s="1">
        <v>79.41</v>
      </c>
      <c r="AA64" s="1">
        <v>6.25</v>
      </c>
      <c r="AC64" s="1">
        <v>19.05</v>
      </c>
      <c r="AI64" s="1">
        <v>0.56000000000000005</v>
      </c>
      <c r="AV64" s="1">
        <v>1.17</v>
      </c>
    </row>
    <row r="65" spans="1:68" x14ac:dyDescent="0.2">
      <c r="A65" s="1" t="s">
        <v>1546</v>
      </c>
      <c r="B65" s="1" t="s">
        <v>55</v>
      </c>
      <c r="C65" s="1" t="s">
        <v>1537</v>
      </c>
      <c r="D65" s="1" t="s">
        <v>2</v>
      </c>
      <c r="E65" s="1">
        <v>13</v>
      </c>
      <c r="F65" s="1" t="s">
        <v>1538</v>
      </c>
      <c r="G65" s="1" t="s">
        <v>1539</v>
      </c>
      <c r="H65" s="1" t="s">
        <v>1540</v>
      </c>
      <c r="I65" s="1" t="s">
        <v>7</v>
      </c>
      <c r="J65" s="1" t="s">
        <v>1541</v>
      </c>
      <c r="K65" s="1" t="s">
        <v>1542</v>
      </c>
      <c r="L65" s="1" t="s">
        <v>1541</v>
      </c>
      <c r="M65" s="1" t="s">
        <v>1547</v>
      </c>
      <c r="N65" s="1" t="s">
        <v>1548</v>
      </c>
      <c r="Q65" s="1">
        <v>2010</v>
      </c>
      <c r="R65" s="1" t="s">
        <v>1545</v>
      </c>
      <c r="S65" s="1" t="s">
        <v>27</v>
      </c>
      <c r="T65" s="6">
        <v>1</v>
      </c>
      <c r="W65" s="1">
        <v>118.91</v>
      </c>
      <c r="Z65" s="1">
        <v>77.790000000000006</v>
      </c>
      <c r="AA65" s="1">
        <v>6.25</v>
      </c>
      <c r="AC65" s="1">
        <v>20.5</v>
      </c>
      <c r="AI65" s="1">
        <v>0.56000000000000005</v>
      </c>
      <c r="AV65" s="1">
        <v>1.29</v>
      </c>
    </row>
    <row r="66" spans="1:68" x14ac:dyDescent="0.2">
      <c r="A66" s="1" t="s">
        <v>1549</v>
      </c>
      <c r="B66" s="1" t="s">
        <v>55</v>
      </c>
      <c r="C66" s="1" t="s">
        <v>1550</v>
      </c>
      <c r="E66" s="1">
        <v>12</v>
      </c>
      <c r="F66" s="1" t="s">
        <v>1551</v>
      </c>
      <c r="H66" s="1" t="s">
        <v>1552</v>
      </c>
      <c r="I66" s="1" t="s">
        <v>7</v>
      </c>
      <c r="J66" s="1" t="s">
        <v>1553</v>
      </c>
      <c r="K66" s="1" t="s">
        <v>1554</v>
      </c>
      <c r="L66" s="1" t="s">
        <v>1553</v>
      </c>
      <c r="N66" s="1" t="s">
        <v>1555</v>
      </c>
      <c r="Q66" s="1">
        <v>1996</v>
      </c>
      <c r="R66" s="1" t="s">
        <v>1556</v>
      </c>
      <c r="S66" s="1" t="s">
        <v>27</v>
      </c>
      <c r="T66" s="6">
        <v>1</v>
      </c>
      <c r="U66" s="1">
        <v>0.48199999999999998</v>
      </c>
      <c r="Z66" s="1">
        <v>78.3</v>
      </c>
      <c r="AC66" s="1">
        <v>17.8</v>
      </c>
      <c r="AH66" s="1">
        <v>2.2999999999999998</v>
      </c>
      <c r="AR66" s="1">
        <v>0</v>
      </c>
      <c r="AV66" s="1">
        <v>1.1000000000000001</v>
      </c>
      <c r="AY66" s="1">
        <v>47.3</v>
      </c>
      <c r="BF66" s="1">
        <v>0.2</v>
      </c>
      <c r="BH66" s="1">
        <v>293.7</v>
      </c>
      <c r="BM66" s="1">
        <v>53.1</v>
      </c>
      <c r="BP66" s="1">
        <v>276.5</v>
      </c>
    </row>
    <row r="67" spans="1:68" x14ac:dyDescent="0.2">
      <c r="A67" s="1" t="s">
        <v>1557</v>
      </c>
      <c r="B67" s="1" t="s">
        <v>55</v>
      </c>
      <c r="C67" s="1" t="s">
        <v>1558</v>
      </c>
      <c r="E67" s="1">
        <v>13</v>
      </c>
      <c r="F67" s="1" t="s">
        <v>1559</v>
      </c>
      <c r="G67" s="1" t="s">
        <v>1560</v>
      </c>
      <c r="H67" s="1" t="s">
        <v>1561</v>
      </c>
      <c r="I67" s="1" t="s">
        <v>7</v>
      </c>
      <c r="J67" s="1" t="s">
        <v>1562</v>
      </c>
      <c r="K67" s="1" t="s">
        <v>1563</v>
      </c>
      <c r="L67" s="1" t="s">
        <v>1564</v>
      </c>
      <c r="N67" s="1" t="s">
        <v>1565</v>
      </c>
      <c r="Q67" s="1">
        <v>1996</v>
      </c>
      <c r="R67" s="1" t="s">
        <v>1556</v>
      </c>
      <c r="S67" s="1" t="s">
        <v>27</v>
      </c>
      <c r="T67" s="6">
        <v>1</v>
      </c>
      <c r="U67" s="1">
        <v>0.49199999999999999</v>
      </c>
      <c r="Z67" s="1" t="s">
        <v>1566</v>
      </c>
      <c r="AC67" s="1" t="s">
        <v>1567</v>
      </c>
      <c r="AH67" s="1" t="s">
        <v>1568</v>
      </c>
      <c r="AR67" s="1" t="s">
        <v>1569</v>
      </c>
      <c r="AV67" s="1" t="s">
        <v>1570</v>
      </c>
      <c r="AY67" s="1">
        <v>108.3</v>
      </c>
      <c r="BF67" s="1">
        <v>0.5</v>
      </c>
      <c r="BH67" s="1">
        <v>242.1</v>
      </c>
      <c r="BM67" s="1">
        <v>63.7</v>
      </c>
      <c r="BP67" s="1">
        <v>456.5</v>
      </c>
    </row>
    <row r="68" spans="1:68" x14ac:dyDescent="0.2">
      <c r="A68" s="1" t="s">
        <v>1571</v>
      </c>
      <c r="B68" s="1" t="s">
        <v>55</v>
      </c>
      <c r="C68" s="1" t="s">
        <v>1550</v>
      </c>
      <c r="E68" s="1">
        <v>13</v>
      </c>
      <c r="F68" s="1" t="s">
        <v>1572</v>
      </c>
      <c r="G68" s="1" t="s">
        <v>1573</v>
      </c>
      <c r="H68" s="1" t="s">
        <v>1574</v>
      </c>
      <c r="I68" s="1" t="s">
        <v>7</v>
      </c>
      <c r="J68" s="1" t="s">
        <v>1575</v>
      </c>
      <c r="K68" s="1" t="s">
        <v>1576</v>
      </c>
      <c r="L68" s="1" t="s">
        <v>1575</v>
      </c>
      <c r="N68" s="1" t="s">
        <v>1577</v>
      </c>
      <c r="Q68" s="1">
        <v>1996</v>
      </c>
      <c r="R68" s="1" t="s">
        <v>1556</v>
      </c>
      <c r="S68" s="1" t="s">
        <v>27</v>
      </c>
      <c r="T68" s="6">
        <v>1</v>
      </c>
      <c r="U68" s="1">
        <v>0.41699999999999998</v>
      </c>
      <c r="Z68" s="1">
        <v>81.3</v>
      </c>
      <c r="AC68" s="1">
        <v>12.9</v>
      </c>
      <c r="AH68" s="1">
        <v>0.1</v>
      </c>
      <c r="AR68" s="1">
        <v>2.6</v>
      </c>
      <c r="AV68" s="1" t="s">
        <v>1570</v>
      </c>
      <c r="AY68" s="1" t="s">
        <v>1578</v>
      </c>
      <c r="BF68" s="1" t="s">
        <v>1569</v>
      </c>
      <c r="BH68" s="1" t="s">
        <v>1579</v>
      </c>
      <c r="BM68" s="1" t="s">
        <v>1580</v>
      </c>
      <c r="BP68" s="1" t="s">
        <v>1581</v>
      </c>
    </row>
    <row r="69" spans="1:68" x14ac:dyDescent="0.2">
      <c r="A69" s="1" t="s">
        <v>1582</v>
      </c>
      <c r="B69" s="1" t="s">
        <v>55</v>
      </c>
      <c r="C69" s="1" t="s">
        <v>1583</v>
      </c>
      <c r="E69" s="1">
        <v>33</v>
      </c>
      <c r="F69" s="1" t="s">
        <v>1584</v>
      </c>
      <c r="H69" s="1" t="s">
        <v>1585</v>
      </c>
      <c r="I69" s="1" t="s">
        <v>7</v>
      </c>
      <c r="J69" s="1" t="s">
        <v>1586</v>
      </c>
      <c r="K69" s="1" t="s">
        <v>1587</v>
      </c>
      <c r="L69" s="1" t="s">
        <v>1586</v>
      </c>
      <c r="P69" s="1" t="s">
        <v>1270</v>
      </c>
      <c r="Q69" s="1">
        <v>2007</v>
      </c>
      <c r="R69" s="1" t="s">
        <v>1588</v>
      </c>
      <c r="S69" s="1" t="s">
        <v>27</v>
      </c>
      <c r="T69" s="6">
        <v>1</v>
      </c>
      <c r="AH69" s="1">
        <v>2.14</v>
      </c>
      <c r="AK69" s="1">
        <v>0.70437559999999999</v>
      </c>
      <c r="AL69" s="1">
        <v>0.44857604000000001</v>
      </c>
      <c r="AM69" s="1">
        <v>0.46711224000000001</v>
      </c>
      <c r="AN69" s="1">
        <v>0.23355612000000001</v>
      </c>
    </row>
    <row r="70" spans="1:68" x14ac:dyDescent="0.2">
      <c r="A70" s="1" t="s">
        <v>1589</v>
      </c>
      <c r="B70" s="1" t="s">
        <v>55</v>
      </c>
      <c r="C70" s="1" t="s">
        <v>1583</v>
      </c>
      <c r="E70" s="1">
        <v>34</v>
      </c>
      <c r="F70" s="1" t="s">
        <v>1590</v>
      </c>
      <c r="H70" s="1" t="s">
        <v>1591</v>
      </c>
      <c r="I70" s="1" t="s">
        <v>7</v>
      </c>
      <c r="J70" s="1" t="s">
        <v>1592</v>
      </c>
      <c r="K70" s="1" t="s">
        <v>1593</v>
      </c>
      <c r="L70" s="1" t="s">
        <v>1594</v>
      </c>
      <c r="P70" s="1" t="s">
        <v>1270</v>
      </c>
      <c r="Q70" s="1">
        <v>2007</v>
      </c>
      <c r="R70" s="1" t="s">
        <v>1588</v>
      </c>
      <c r="S70" s="1" t="s">
        <v>27</v>
      </c>
      <c r="T70" s="6">
        <v>1</v>
      </c>
      <c r="AH70" s="1">
        <v>1.59</v>
      </c>
      <c r="AK70" s="1">
        <v>0.40616240999999997</v>
      </c>
      <c r="AL70" s="1">
        <v>0.38873629999999998</v>
      </c>
      <c r="AM70" s="1">
        <v>0.36594831</v>
      </c>
      <c r="AN70" s="1">
        <v>0.17962297999999999</v>
      </c>
    </row>
    <row r="71" spans="1:68" x14ac:dyDescent="0.2">
      <c r="A71" s="1" t="s">
        <v>1595</v>
      </c>
      <c r="B71" s="1" t="s">
        <v>55</v>
      </c>
      <c r="C71" s="1" t="s">
        <v>1583</v>
      </c>
      <c r="E71" s="1">
        <v>32</v>
      </c>
      <c r="F71" s="1" t="s">
        <v>1596</v>
      </c>
      <c r="H71" s="1" t="s">
        <v>1597</v>
      </c>
      <c r="I71" s="1" t="s">
        <v>7</v>
      </c>
      <c r="J71" s="1" t="s">
        <v>1598</v>
      </c>
      <c r="K71" s="1" t="s">
        <v>1599</v>
      </c>
      <c r="L71" s="1" t="s">
        <v>1598</v>
      </c>
      <c r="P71" s="1" t="s">
        <v>1270</v>
      </c>
      <c r="Q71" s="1">
        <v>2007</v>
      </c>
      <c r="R71" s="1" t="s">
        <v>1588</v>
      </c>
      <c r="S71" s="1" t="s">
        <v>27</v>
      </c>
      <c r="T71" s="6">
        <v>1</v>
      </c>
      <c r="AH71" s="1">
        <v>1.2</v>
      </c>
      <c r="AK71" s="1">
        <v>0.28907359999999999</v>
      </c>
      <c r="AL71" s="1">
        <v>0.18750720000000001</v>
      </c>
      <c r="AM71" s="1">
        <v>0.38673360000000001</v>
      </c>
      <c r="AN71" s="1">
        <v>0.11426219999999999</v>
      </c>
    </row>
    <row r="72" spans="1:68" x14ac:dyDescent="0.2">
      <c r="A72" s="1" t="s">
        <v>1600</v>
      </c>
      <c r="B72" s="1" t="s">
        <v>55</v>
      </c>
      <c r="C72" s="1" t="s">
        <v>1583</v>
      </c>
      <c r="E72" s="1">
        <v>37</v>
      </c>
      <c r="F72" s="1" t="s">
        <v>1601</v>
      </c>
      <c r="H72" s="1" t="s">
        <v>1602</v>
      </c>
      <c r="I72" s="1" t="s">
        <v>7</v>
      </c>
      <c r="J72" s="1" t="s">
        <v>1603</v>
      </c>
      <c r="K72" s="1" t="s">
        <v>1604</v>
      </c>
      <c r="L72" s="1" t="s">
        <v>1603</v>
      </c>
      <c r="P72" s="1" t="s">
        <v>1270</v>
      </c>
      <c r="Q72" s="1">
        <v>2007</v>
      </c>
      <c r="R72" s="1" t="s">
        <v>1588</v>
      </c>
      <c r="S72" s="1" t="s">
        <v>27</v>
      </c>
      <c r="T72" s="6">
        <v>1</v>
      </c>
      <c r="AH72" s="1">
        <v>1.1599999999999999</v>
      </c>
      <c r="AK72" s="1">
        <v>0.24327351999999999</v>
      </c>
      <c r="AL72" s="1">
        <v>0.13431704</v>
      </c>
      <c r="AM72" s="1">
        <v>0.45273296000000002</v>
      </c>
      <c r="AN72" s="1">
        <v>0.10895647999999999</v>
      </c>
    </row>
    <row r="73" spans="1:68" x14ac:dyDescent="0.2">
      <c r="A73" s="1" t="s">
        <v>1605</v>
      </c>
      <c r="B73" s="1" t="s">
        <v>55</v>
      </c>
      <c r="C73" s="1" t="s">
        <v>1583</v>
      </c>
      <c r="E73" s="1">
        <v>37</v>
      </c>
      <c r="F73" s="1" t="s">
        <v>1606</v>
      </c>
      <c r="H73" s="1" t="s">
        <v>1607</v>
      </c>
      <c r="I73" s="1" t="s">
        <v>7</v>
      </c>
      <c r="J73" s="1" t="s">
        <v>1608</v>
      </c>
      <c r="K73" s="1" t="s">
        <v>1609</v>
      </c>
      <c r="L73" s="1" t="s">
        <v>1610</v>
      </c>
      <c r="P73" s="1" t="s">
        <v>1611</v>
      </c>
      <c r="Q73" s="1">
        <v>2007</v>
      </c>
      <c r="R73" s="1" t="s">
        <v>1588</v>
      </c>
      <c r="S73" s="1" t="s">
        <v>27</v>
      </c>
      <c r="T73" s="6">
        <v>1</v>
      </c>
      <c r="AH73" s="1">
        <v>1.01</v>
      </c>
      <c r="AK73" s="1">
        <v>0.23740101</v>
      </c>
      <c r="AL73" s="1">
        <v>0.10551156</v>
      </c>
      <c r="AM73" s="1">
        <v>0.37008978999999997</v>
      </c>
      <c r="AN73" s="1">
        <v>8.6327639999999997E-2</v>
      </c>
    </row>
    <row r="74" spans="1:68" x14ac:dyDescent="0.2">
      <c r="A74" s="1" t="s">
        <v>1612</v>
      </c>
      <c r="B74" s="1" t="s">
        <v>55</v>
      </c>
      <c r="C74" s="1" t="s">
        <v>1583</v>
      </c>
      <c r="E74" s="1">
        <v>33</v>
      </c>
      <c r="F74" s="1" t="s">
        <v>1298</v>
      </c>
      <c r="H74" s="1" t="s">
        <v>1613</v>
      </c>
      <c r="I74" s="1" t="s">
        <v>7</v>
      </c>
      <c r="J74" s="1" t="s">
        <v>1614</v>
      </c>
      <c r="K74" s="1" t="s">
        <v>1301</v>
      </c>
      <c r="L74" s="1" t="s">
        <v>1300</v>
      </c>
      <c r="P74" s="1" t="s">
        <v>1270</v>
      </c>
      <c r="Q74" s="1">
        <v>2007</v>
      </c>
      <c r="R74" s="1" t="s">
        <v>1588</v>
      </c>
      <c r="S74" s="1" t="s">
        <v>27</v>
      </c>
      <c r="T74" s="6">
        <v>1</v>
      </c>
      <c r="AH74" s="1">
        <v>12.4</v>
      </c>
      <c r="AK74" s="1">
        <v>2.913681</v>
      </c>
      <c r="AL74" s="1">
        <v>3.1993360000000002</v>
      </c>
      <c r="AM74" s="1">
        <v>3.9420389999999998</v>
      </c>
      <c r="AN74" s="1">
        <v>1.3711439999999999</v>
      </c>
    </row>
    <row r="75" spans="1:68" x14ac:dyDescent="0.2">
      <c r="A75" s="1" t="s">
        <v>1615</v>
      </c>
      <c r="B75" s="1" t="s">
        <v>55</v>
      </c>
      <c r="C75" s="1" t="s">
        <v>1583</v>
      </c>
      <c r="E75" s="1">
        <v>33</v>
      </c>
      <c r="F75" s="1" t="s">
        <v>1289</v>
      </c>
      <c r="H75" s="1" t="s">
        <v>1616</v>
      </c>
      <c r="I75" s="1" t="s">
        <v>7</v>
      </c>
      <c r="J75" s="1" t="s">
        <v>1291</v>
      </c>
      <c r="K75" s="1" t="s">
        <v>1292</v>
      </c>
      <c r="L75" s="1" t="s">
        <v>1291</v>
      </c>
      <c r="P75" s="1" t="s">
        <v>1270</v>
      </c>
      <c r="Q75" s="1">
        <v>2007</v>
      </c>
      <c r="R75" s="1" t="s">
        <v>1588</v>
      </c>
      <c r="S75" s="1" t="s">
        <v>27</v>
      </c>
      <c r="T75" s="6">
        <v>1</v>
      </c>
      <c r="AH75" s="1">
        <v>3.02</v>
      </c>
      <c r="AK75" s="1">
        <v>0.69273693999999997</v>
      </c>
      <c r="AL75" s="1">
        <v>0.65796635999999997</v>
      </c>
      <c r="AM75" s="1">
        <v>1.05114138</v>
      </c>
      <c r="AN75" s="1">
        <v>0.27548998000000002</v>
      </c>
    </row>
    <row r="76" spans="1:68" x14ac:dyDescent="0.2">
      <c r="A76" s="1" t="s">
        <v>1617</v>
      </c>
      <c r="B76" s="1" t="s">
        <v>55</v>
      </c>
      <c r="C76" s="1" t="s">
        <v>1583</v>
      </c>
      <c r="E76" s="1">
        <v>33</v>
      </c>
      <c r="F76" s="1" t="s">
        <v>1618</v>
      </c>
      <c r="H76" s="1" t="s">
        <v>1619</v>
      </c>
      <c r="I76" s="1" t="s">
        <v>7</v>
      </c>
      <c r="J76" s="1" t="s">
        <v>1620</v>
      </c>
      <c r="K76" s="1" t="s">
        <v>1621</v>
      </c>
      <c r="L76" s="1" t="s">
        <v>1620</v>
      </c>
      <c r="P76" s="1" t="s">
        <v>1270</v>
      </c>
      <c r="Q76" s="1">
        <v>2007</v>
      </c>
      <c r="R76" s="1" t="s">
        <v>1588</v>
      </c>
      <c r="S76" s="1" t="s">
        <v>27</v>
      </c>
      <c r="T76" s="6">
        <v>1</v>
      </c>
      <c r="AH76" s="1">
        <v>1.21</v>
      </c>
      <c r="AK76" s="1">
        <v>0.38845642000000002</v>
      </c>
      <c r="AL76" s="1">
        <v>0.15873472999999999</v>
      </c>
      <c r="AM76" s="1">
        <v>0.28099004999999999</v>
      </c>
      <c r="AN76" s="1">
        <v>0.15774879999999999</v>
      </c>
    </row>
    <row r="77" spans="1:68" x14ac:dyDescent="0.2">
      <c r="A77" s="1" t="s">
        <v>1622</v>
      </c>
      <c r="B77" s="1" t="s">
        <v>55</v>
      </c>
      <c r="C77" s="1" t="s">
        <v>1623</v>
      </c>
      <c r="D77" s="1" t="s">
        <v>2</v>
      </c>
      <c r="E77" s="1">
        <v>21</v>
      </c>
      <c r="F77" s="1" t="s">
        <v>1624</v>
      </c>
      <c r="H77" s="1" t="s">
        <v>1625</v>
      </c>
      <c r="I77" s="1" t="s">
        <v>7</v>
      </c>
      <c r="J77" s="1" t="s">
        <v>1626</v>
      </c>
      <c r="K77" s="1" t="s">
        <v>1627</v>
      </c>
      <c r="L77" s="1" t="s">
        <v>1626</v>
      </c>
      <c r="N77" s="1" t="s">
        <v>1628</v>
      </c>
      <c r="P77" s="1" t="s">
        <v>1629</v>
      </c>
      <c r="Q77" s="1">
        <v>1997</v>
      </c>
      <c r="R77" s="1" t="s">
        <v>1630</v>
      </c>
      <c r="S77" s="1" t="s">
        <v>27</v>
      </c>
      <c r="T77" s="6">
        <v>1</v>
      </c>
      <c r="Z77" s="1">
        <v>77.41</v>
      </c>
      <c r="AE77" s="1">
        <v>18.78</v>
      </c>
      <c r="AJ77" s="1">
        <v>2.5</v>
      </c>
      <c r="AV77" s="1">
        <v>1.31</v>
      </c>
    </row>
    <row r="78" spans="1:68" x14ac:dyDescent="0.2">
      <c r="A78" s="1" t="s">
        <v>1631</v>
      </c>
      <c r="B78" s="1" t="s">
        <v>55</v>
      </c>
      <c r="C78" s="1" t="s">
        <v>1623</v>
      </c>
      <c r="D78" s="1" t="s">
        <v>2</v>
      </c>
      <c r="E78" s="1">
        <v>21</v>
      </c>
      <c r="F78" s="1" t="s">
        <v>1624</v>
      </c>
      <c r="H78" s="1" t="s">
        <v>1632</v>
      </c>
      <c r="I78" s="1" t="s">
        <v>7</v>
      </c>
      <c r="J78" s="1" t="s">
        <v>1626</v>
      </c>
      <c r="K78" s="1" t="s">
        <v>1627</v>
      </c>
      <c r="L78" s="1" t="s">
        <v>1626</v>
      </c>
      <c r="M78" s="1" t="s">
        <v>1633</v>
      </c>
      <c r="N78" s="1" t="s">
        <v>1628</v>
      </c>
      <c r="P78" s="1" t="s">
        <v>1634</v>
      </c>
      <c r="Q78" s="1">
        <v>1997</v>
      </c>
      <c r="R78" s="1" t="s">
        <v>1630</v>
      </c>
      <c r="S78" s="1" t="s">
        <v>27</v>
      </c>
      <c r="T78" s="6">
        <v>1</v>
      </c>
      <c r="Z78" s="1">
        <v>77.540000000000006</v>
      </c>
      <c r="AE78" s="1">
        <v>18.66</v>
      </c>
      <c r="AJ78" s="1">
        <v>2.54</v>
      </c>
      <c r="AV78" s="1">
        <v>1.26</v>
      </c>
    </row>
    <row r="79" spans="1:68" x14ac:dyDescent="0.2">
      <c r="A79" s="1" t="s">
        <v>1635</v>
      </c>
      <c r="B79" s="1" t="s">
        <v>55</v>
      </c>
      <c r="C79" s="1" t="s">
        <v>1623</v>
      </c>
      <c r="D79" s="1" t="s">
        <v>2</v>
      </c>
      <c r="E79" s="1">
        <v>21</v>
      </c>
      <c r="F79" s="1" t="s">
        <v>1624</v>
      </c>
      <c r="H79" s="1" t="s">
        <v>1632</v>
      </c>
      <c r="I79" s="1" t="s">
        <v>7</v>
      </c>
      <c r="J79" s="1" t="s">
        <v>1626</v>
      </c>
      <c r="K79" s="1" t="s">
        <v>1627</v>
      </c>
      <c r="L79" s="1" t="s">
        <v>1626</v>
      </c>
      <c r="M79" s="1" t="s">
        <v>1633</v>
      </c>
      <c r="N79" s="1" t="s">
        <v>1628</v>
      </c>
      <c r="P79" s="1" t="s">
        <v>1636</v>
      </c>
      <c r="Q79" s="1">
        <v>1997</v>
      </c>
      <c r="R79" s="1" t="s">
        <v>1630</v>
      </c>
      <c r="S79" s="1" t="s">
        <v>27</v>
      </c>
      <c r="T79" s="6">
        <v>1</v>
      </c>
      <c r="Z79" s="1">
        <v>77.540000000000006</v>
      </c>
      <c r="AE79" s="1">
        <v>18.66</v>
      </c>
      <c r="AJ79" s="1" t="s">
        <v>1637</v>
      </c>
      <c r="AK79" s="1" t="s">
        <v>1638</v>
      </c>
      <c r="AN79" s="1" t="s">
        <v>1639</v>
      </c>
      <c r="AV79" s="1">
        <v>1.26</v>
      </c>
    </row>
    <row r="80" spans="1:68" x14ac:dyDescent="0.2">
      <c r="A80" s="1" t="s">
        <v>1640</v>
      </c>
      <c r="B80" s="1" t="s">
        <v>55</v>
      </c>
      <c r="C80" s="1" t="s">
        <v>1623</v>
      </c>
      <c r="D80" s="1" t="s">
        <v>2</v>
      </c>
      <c r="E80" s="1">
        <v>21</v>
      </c>
      <c r="F80" s="1" t="s">
        <v>1624</v>
      </c>
      <c r="H80" s="1" t="s">
        <v>1632</v>
      </c>
      <c r="I80" s="1" t="s">
        <v>7</v>
      </c>
      <c r="J80" s="1" t="s">
        <v>1626</v>
      </c>
      <c r="K80" s="1" t="s">
        <v>1627</v>
      </c>
      <c r="L80" s="1" t="s">
        <v>1626</v>
      </c>
      <c r="M80" s="1" t="s">
        <v>1641</v>
      </c>
      <c r="N80" s="1" t="s">
        <v>1628</v>
      </c>
      <c r="P80" s="1" t="s">
        <v>1636</v>
      </c>
      <c r="Q80" s="1">
        <v>1997</v>
      </c>
      <c r="R80" s="1" t="s">
        <v>1630</v>
      </c>
      <c r="S80" s="1" t="s">
        <v>27</v>
      </c>
      <c r="T80" s="6">
        <v>1</v>
      </c>
      <c r="Z80" s="1">
        <v>77.540000000000006</v>
      </c>
      <c r="AE80" s="1">
        <v>18.66</v>
      </c>
      <c r="AJ80" s="1" t="s">
        <v>1637</v>
      </c>
      <c r="AK80" s="1" t="s">
        <v>1642</v>
      </c>
      <c r="AN80" s="1" t="s">
        <v>1643</v>
      </c>
      <c r="AV80" s="1">
        <v>1.26</v>
      </c>
    </row>
    <row r="81" spans="1:153" x14ac:dyDescent="0.2">
      <c r="A81" s="1" t="s">
        <v>1644</v>
      </c>
      <c r="B81" s="1" t="s">
        <v>55</v>
      </c>
      <c r="C81" s="1" t="s">
        <v>1623</v>
      </c>
      <c r="D81" s="1" t="s">
        <v>2</v>
      </c>
      <c r="E81" s="1">
        <v>21</v>
      </c>
      <c r="F81" s="1" t="s">
        <v>1624</v>
      </c>
      <c r="H81" s="1" t="s">
        <v>1632</v>
      </c>
      <c r="I81" s="1" t="s">
        <v>7</v>
      </c>
      <c r="J81" s="1" t="s">
        <v>1626</v>
      </c>
      <c r="K81" s="1" t="s">
        <v>1627</v>
      </c>
      <c r="L81" s="1" t="s">
        <v>1626</v>
      </c>
      <c r="M81" s="1" t="s">
        <v>1645</v>
      </c>
      <c r="N81" s="1" t="s">
        <v>1628</v>
      </c>
      <c r="P81" s="1" t="s">
        <v>1636</v>
      </c>
      <c r="Q81" s="1">
        <v>1997</v>
      </c>
      <c r="R81" s="1" t="s">
        <v>1630</v>
      </c>
      <c r="S81" s="1" t="s">
        <v>27</v>
      </c>
      <c r="T81" s="6">
        <v>1</v>
      </c>
      <c r="Z81" s="1">
        <v>77.540000000000006</v>
      </c>
      <c r="AE81" s="1">
        <v>18.66</v>
      </c>
      <c r="AJ81" s="1" t="s">
        <v>1637</v>
      </c>
      <c r="AK81" s="1" t="s">
        <v>1646</v>
      </c>
      <c r="AN81" s="1" t="s">
        <v>1647</v>
      </c>
      <c r="AV81" s="1">
        <v>1.26</v>
      </c>
    </row>
    <row r="82" spans="1:153" x14ac:dyDescent="0.2">
      <c r="A82" s="1" t="s">
        <v>1648</v>
      </c>
      <c r="B82" s="1" t="s">
        <v>55</v>
      </c>
      <c r="C82" s="1" t="s">
        <v>1623</v>
      </c>
      <c r="D82" s="1" t="s">
        <v>2</v>
      </c>
      <c r="E82" s="1">
        <v>21</v>
      </c>
      <c r="F82" s="1" t="s">
        <v>1624</v>
      </c>
      <c r="H82" s="1" t="s">
        <v>1632</v>
      </c>
      <c r="I82" s="1" t="s">
        <v>7</v>
      </c>
      <c r="J82" s="1" t="s">
        <v>1626</v>
      </c>
      <c r="K82" s="1" t="s">
        <v>1627</v>
      </c>
      <c r="L82" s="1" t="s">
        <v>1626</v>
      </c>
      <c r="M82" s="1" t="s">
        <v>1649</v>
      </c>
      <c r="N82" s="1" t="s">
        <v>1628</v>
      </c>
      <c r="P82" s="1" t="s">
        <v>1636</v>
      </c>
      <c r="Q82" s="1">
        <v>1997</v>
      </c>
      <c r="R82" s="1" t="s">
        <v>1630</v>
      </c>
      <c r="S82" s="1" t="s">
        <v>27</v>
      </c>
      <c r="T82" s="6">
        <v>1</v>
      </c>
      <c r="Z82" s="1">
        <v>77.540000000000006</v>
      </c>
      <c r="AE82" s="1">
        <v>18.66</v>
      </c>
      <c r="AJ82" s="1" t="s">
        <v>1637</v>
      </c>
      <c r="AK82" s="1" t="s">
        <v>1650</v>
      </c>
      <c r="AN82" s="1" t="s">
        <v>1651</v>
      </c>
      <c r="AV82" s="1">
        <v>1.26</v>
      </c>
    </row>
    <row r="83" spans="1:153" x14ac:dyDescent="0.2">
      <c r="A83" s="1" t="s">
        <v>1652</v>
      </c>
      <c r="B83" s="1" t="s">
        <v>55</v>
      </c>
      <c r="C83" s="1" t="s">
        <v>1623</v>
      </c>
      <c r="D83" s="1" t="s">
        <v>2</v>
      </c>
      <c r="E83" s="1">
        <v>21</v>
      </c>
      <c r="F83" s="1" t="s">
        <v>1624</v>
      </c>
      <c r="H83" s="1" t="s">
        <v>1653</v>
      </c>
      <c r="I83" s="1" t="s">
        <v>7</v>
      </c>
      <c r="J83" s="1" t="s">
        <v>1626</v>
      </c>
      <c r="K83" s="1" t="s">
        <v>1627</v>
      </c>
      <c r="L83" s="1" t="s">
        <v>1626</v>
      </c>
      <c r="M83" s="1" t="s">
        <v>1633</v>
      </c>
      <c r="N83" s="1" t="s">
        <v>1654</v>
      </c>
      <c r="P83" s="1" t="s">
        <v>1629</v>
      </c>
      <c r="Q83" s="1">
        <v>1997</v>
      </c>
      <c r="R83" s="1" t="s">
        <v>1630</v>
      </c>
      <c r="S83" s="1" t="s">
        <v>27</v>
      </c>
      <c r="T83" s="6">
        <v>1</v>
      </c>
      <c r="Z83" s="1">
        <v>76.349999999999994</v>
      </c>
      <c r="AE83" s="1">
        <v>18.98</v>
      </c>
      <c r="AJ83" s="1">
        <v>3.36</v>
      </c>
      <c r="AV83" s="1">
        <v>1.31</v>
      </c>
    </row>
    <row r="84" spans="1:153" x14ac:dyDescent="0.2">
      <c r="A84" s="1" t="s">
        <v>1655</v>
      </c>
      <c r="B84" s="1" t="s">
        <v>55</v>
      </c>
      <c r="C84" s="1" t="s">
        <v>1623</v>
      </c>
      <c r="D84" s="1" t="s">
        <v>2</v>
      </c>
      <c r="E84" s="1">
        <v>21</v>
      </c>
      <c r="F84" s="1" t="s">
        <v>1624</v>
      </c>
      <c r="H84" s="1" t="s">
        <v>1653</v>
      </c>
      <c r="I84" s="1" t="s">
        <v>7</v>
      </c>
      <c r="J84" s="1" t="s">
        <v>1626</v>
      </c>
      <c r="K84" s="1" t="s">
        <v>1627</v>
      </c>
      <c r="L84" s="1" t="s">
        <v>1626</v>
      </c>
      <c r="M84" s="1" t="s">
        <v>1633</v>
      </c>
      <c r="N84" s="1" t="s">
        <v>1654</v>
      </c>
      <c r="P84" s="1" t="s">
        <v>1636</v>
      </c>
      <c r="Q84" s="1">
        <v>1997</v>
      </c>
      <c r="R84" s="1" t="s">
        <v>1630</v>
      </c>
      <c r="S84" s="1" t="s">
        <v>27</v>
      </c>
      <c r="T84" s="6">
        <v>1</v>
      </c>
      <c r="Z84" s="1">
        <v>76.349999999999994</v>
      </c>
      <c r="AE84" s="1">
        <v>18.98</v>
      </c>
      <c r="AJ84" s="1" t="s">
        <v>1656</v>
      </c>
      <c r="AK84" s="1" t="s">
        <v>1657</v>
      </c>
      <c r="AN84" s="1" t="s">
        <v>1658</v>
      </c>
      <c r="AV84" s="1">
        <v>1.31</v>
      </c>
    </row>
    <row r="85" spans="1:153" x14ac:dyDescent="0.2">
      <c r="A85" s="1" t="s">
        <v>1659</v>
      </c>
      <c r="B85" s="1" t="s">
        <v>55</v>
      </c>
      <c r="C85" s="1" t="s">
        <v>1623</v>
      </c>
      <c r="D85" s="1" t="s">
        <v>2</v>
      </c>
      <c r="E85" s="1">
        <v>21</v>
      </c>
      <c r="F85" s="1" t="s">
        <v>1624</v>
      </c>
      <c r="H85" s="1" t="s">
        <v>1653</v>
      </c>
      <c r="I85" s="1" t="s">
        <v>7</v>
      </c>
      <c r="J85" s="1" t="s">
        <v>1626</v>
      </c>
      <c r="K85" s="1" t="s">
        <v>1627</v>
      </c>
      <c r="L85" s="1" t="s">
        <v>1626</v>
      </c>
      <c r="M85" s="1" t="s">
        <v>1641</v>
      </c>
      <c r="N85" s="1" t="s">
        <v>1654</v>
      </c>
      <c r="P85" s="1" t="s">
        <v>1636</v>
      </c>
      <c r="Q85" s="1">
        <v>1997</v>
      </c>
      <c r="R85" s="1" t="s">
        <v>1630</v>
      </c>
      <c r="S85" s="1" t="s">
        <v>27</v>
      </c>
      <c r="T85" s="6">
        <v>1</v>
      </c>
      <c r="Z85" s="1">
        <v>76.349999999999994</v>
      </c>
      <c r="AE85" s="1">
        <v>18.98</v>
      </c>
      <c r="AJ85" s="1" t="s">
        <v>1656</v>
      </c>
      <c r="AK85" s="1" t="s">
        <v>1660</v>
      </c>
      <c r="AN85" s="1" t="s">
        <v>1661</v>
      </c>
      <c r="AV85" s="1">
        <v>1.31</v>
      </c>
    </row>
    <row r="86" spans="1:153" x14ac:dyDescent="0.2">
      <c r="A86" s="1" t="s">
        <v>1662</v>
      </c>
      <c r="B86" s="1" t="s">
        <v>55</v>
      </c>
      <c r="C86" s="1" t="s">
        <v>1623</v>
      </c>
      <c r="D86" s="1" t="s">
        <v>2</v>
      </c>
      <c r="E86" s="1">
        <v>21</v>
      </c>
      <c r="F86" s="1" t="s">
        <v>1624</v>
      </c>
      <c r="H86" s="1" t="s">
        <v>1653</v>
      </c>
      <c r="I86" s="1" t="s">
        <v>7</v>
      </c>
      <c r="J86" s="1" t="s">
        <v>1626</v>
      </c>
      <c r="K86" s="1" t="s">
        <v>1627</v>
      </c>
      <c r="L86" s="1" t="s">
        <v>1626</v>
      </c>
      <c r="M86" s="1" t="s">
        <v>1645</v>
      </c>
      <c r="N86" s="1" t="s">
        <v>1654</v>
      </c>
      <c r="P86" s="1" t="s">
        <v>1636</v>
      </c>
      <c r="Q86" s="1">
        <v>1997</v>
      </c>
      <c r="R86" s="1" t="s">
        <v>1630</v>
      </c>
      <c r="S86" s="1" t="s">
        <v>27</v>
      </c>
      <c r="T86" s="6">
        <v>1</v>
      </c>
      <c r="Z86" s="1">
        <v>76.349999999999994</v>
      </c>
      <c r="AE86" s="1">
        <v>18.98</v>
      </c>
      <c r="AJ86" s="1" t="s">
        <v>1656</v>
      </c>
      <c r="AK86" s="1" t="s">
        <v>1663</v>
      </c>
      <c r="AN86" s="1" t="s">
        <v>1664</v>
      </c>
      <c r="AV86" s="1">
        <v>1.31</v>
      </c>
    </row>
    <row r="87" spans="1:153" x14ac:dyDescent="0.2">
      <c r="A87" s="1" t="s">
        <v>1665</v>
      </c>
      <c r="B87" s="1" t="s">
        <v>55</v>
      </c>
      <c r="C87" s="1" t="s">
        <v>1623</v>
      </c>
      <c r="D87" s="1" t="s">
        <v>2</v>
      </c>
      <c r="E87" s="1">
        <v>21</v>
      </c>
      <c r="F87" s="1" t="s">
        <v>1624</v>
      </c>
      <c r="H87" s="1" t="s">
        <v>1653</v>
      </c>
      <c r="I87" s="1" t="s">
        <v>7</v>
      </c>
      <c r="J87" s="1" t="s">
        <v>1626</v>
      </c>
      <c r="K87" s="1" t="s">
        <v>1627</v>
      </c>
      <c r="L87" s="1" t="s">
        <v>1626</v>
      </c>
      <c r="M87" s="1" t="s">
        <v>1649</v>
      </c>
      <c r="N87" s="1" t="s">
        <v>1654</v>
      </c>
      <c r="P87" s="1" t="s">
        <v>1636</v>
      </c>
      <c r="Q87" s="1">
        <v>1997</v>
      </c>
      <c r="R87" s="1" t="s">
        <v>1630</v>
      </c>
      <c r="S87" s="1" t="s">
        <v>27</v>
      </c>
      <c r="T87" s="6">
        <v>1</v>
      </c>
      <c r="Z87" s="1">
        <v>76.349999999999994</v>
      </c>
      <c r="AE87" s="1">
        <v>18.98</v>
      </c>
      <c r="AJ87" s="1" t="s">
        <v>1656</v>
      </c>
      <c r="AK87" s="1" t="s">
        <v>1666</v>
      </c>
      <c r="AN87" s="1" t="s">
        <v>1667</v>
      </c>
      <c r="AV87" s="1">
        <v>1.31</v>
      </c>
    </row>
    <row r="88" spans="1:153" x14ac:dyDescent="0.2">
      <c r="A88" s="1" t="s">
        <v>1668</v>
      </c>
      <c r="B88" s="1" t="s">
        <v>55</v>
      </c>
      <c r="C88" s="1" t="s">
        <v>236</v>
      </c>
      <c r="D88" s="1" t="s">
        <v>2</v>
      </c>
      <c r="E88" s="1">
        <v>21</v>
      </c>
      <c r="F88" s="1" t="s">
        <v>1517</v>
      </c>
      <c r="H88" s="1" t="s">
        <v>1669</v>
      </c>
      <c r="I88" s="1" t="s">
        <v>7</v>
      </c>
      <c r="J88" s="1" t="s">
        <v>1519</v>
      </c>
      <c r="K88" s="1" t="s">
        <v>1520</v>
      </c>
      <c r="L88" s="1" t="s">
        <v>1519</v>
      </c>
      <c r="N88" s="1" t="s">
        <v>1670</v>
      </c>
      <c r="P88" s="1" t="s">
        <v>1671</v>
      </c>
      <c r="Q88" s="1">
        <v>1997</v>
      </c>
      <c r="R88" s="1" t="s">
        <v>1672</v>
      </c>
      <c r="S88" s="1" t="s">
        <v>27</v>
      </c>
      <c r="T88" s="6">
        <v>1</v>
      </c>
      <c r="U88" s="1">
        <v>0.58040000000000003</v>
      </c>
      <c r="V88" s="1">
        <v>618</v>
      </c>
      <c r="Z88" s="1">
        <v>72.099999999999994</v>
      </c>
      <c r="AA88" s="1">
        <v>6.25</v>
      </c>
      <c r="AC88" s="1">
        <v>19.399999999999999</v>
      </c>
      <c r="AH88" s="1">
        <v>7.76</v>
      </c>
      <c r="AK88" s="1">
        <v>1.7486304974682001</v>
      </c>
      <c r="AL88" s="1">
        <v>3.19218162921424</v>
      </c>
      <c r="AM88" s="1">
        <v>1.8027061250737699</v>
      </c>
      <c r="AN88" s="1">
        <v>0.353561748243787</v>
      </c>
      <c r="AV88" s="1">
        <v>1.1000000000000001</v>
      </c>
      <c r="EW88" s="1">
        <v>70.400000000000006</v>
      </c>
    </row>
    <row r="89" spans="1:153" x14ac:dyDescent="0.2">
      <c r="A89" s="1" t="s">
        <v>1673</v>
      </c>
      <c r="B89" s="1" t="s">
        <v>55</v>
      </c>
      <c r="C89" s="1" t="s">
        <v>236</v>
      </c>
      <c r="D89" s="1" t="s">
        <v>2</v>
      </c>
      <c r="E89" s="1">
        <v>21</v>
      </c>
      <c r="F89" s="1" t="s">
        <v>1674</v>
      </c>
      <c r="H89" s="1" t="s">
        <v>1675</v>
      </c>
      <c r="I89" s="1" t="s">
        <v>7</v>
      </c>
      <c r="J89" s="1" t="s">
        <v>1676</v>
      </c>
      <c r="K89" s="1" t="s">
        <v>1677</v>
      </c>
      <c r="L89" s="1" t="s">
        <v>1676</v>
      </c>
      <c r="N89" s="1" t="s">
        <v>1678</v>
      </c>
      <c r="P89" s="1" t="s">
        <v>1671</v>
      </c>
      <c r="Q89" s="1">
        <v>1997</v>
      </c>
      <c r="R89" s="1" t="s">
        <v>1672</v>
      </c>
      <c r="S89" s="1" t="s">
        <v>27</v>
      </c>
      <c r="T89" s="6">
        <v>1</v>
      </c>
      <c r="U89" s="1">
        <v>0.54810000000000003</v>
      </c>
      <c r="V89" s="1">
        <v>710</v>
      </c>
      <c r="Z89" s="1">
        <v>69.8</v>
      </c>
      <c r="AA89" s="1">
        <v>6.25</v>
      </c>
      <c r="AC89" s="1">
        <v>18.600000000000001</v>
      </c>
      <c r="AH89" s="1">
        <v>10.64</v>
      </c>
      <c r="AK89" s="1">
        <v>2.5661656935949599</v>
      </c>
      <c r="AL89" s="1">
        <v>4.6710406363531698</v>
      </c>
      <c r="AM89" s="1">
        <v>1.9922323206186801</v>
      </c>
      <c r="AN89" s="1">
        <v>0.55468134943318603</v>
      </c>
      <c r="AV89" s="1">
        <v>1.02</v>
      </c>
      <c r="EW89" s="1">
        <v>64.8</v>
      </c>
    </row>
    <row r="90" spans="1:153" x14ac:dyDescent="0.2">
      <c r="A90" s="1" t="s">
        <v>1679</v>
      </c>
      <c r="B90" s="1" t="s">
        <v>55</v>
      </c>
      <c r="C90" s="1" t="s">
        <v>236</v>
      </c>
      <c r="D90" s="1" t="s">
        <v>2</v>
      </c>
      <c r="E90" s="1">
        <v>21</v>
      </c>
      <c r="F90" s="1" t="s">
        <v>1624</v>
      </c>
      <c r="H90" s="1" t="s">
        <v>1680</v>
      </c>
      <c r="I90" s="1" t="s">
        <v>7</v>
      </c>
      <c r="J90" s="1" t="s">
        <v>1626</v>
      </c>
      <c r="K90" s="1" t="s">
        <v>1627</v>
      </c>
      <c r="L90" s="1" t="s">
        <v>1626</v>
      </c>
      <c r="N90" s="1" t="s">
        <v>1681</v>
      </c>
      <c r="P90" s="1" t="s">
        <v>1671</v>
      </c>
      <c r="Q90" s="1">
        <v>1997</v>
      </c>
      <c r="R90" s="1" t="s">
        <v>1672</v>
      </c>
      <c r="S90" s="1" t="s">
        <v>27</v>
      </c>
      <c r="T90" s="6">
        <v>1</v>
      </c>
      <c r="U90" s="1">
        <v>0.64659999999999995</v>
      </c>
      <c r="V90" s="1">
        <v>499</v>
      </c>
      <c r="Z90" s="1">
        <v>75.5</v>
      </c>
      <c r="AA90" s="1">
        <v>6.25</v>
      </c>
      <c r="AC90" s="1">
        <v>19.5</v>
      </c>
      <c r="AH90" s="1">
        <v>4.49</v>
      </c>
      <c r="AK90" s="1">
        <v>1.08361822868222</v>
      </c>
      <c r="AL90" s="1">
        <v>1.8413158939033401</v>
      </c>
      <c r="AM90" s="1">
        <v>0.89031228409170704</v>
      </c>
      <c r="AN90" s="1">
        <v>0.23092359332274101</v>
      </c>
      <c r="AV90" s="1">
        <v>1.1399999999999999</v>
      </c>
      <c r="EW90" s="1">
        <v>61.4</v>
      </c>
    </row>
    <row r="91" spans="1:153" x14ac:dyDescent="0.2">
      <c r="A91" s="1" t="s">
        <v>1682</v>
      </c>
      <c r="B91" s="1" t="s">
        <v>55</v>
      </c>
      <c r="C91" s="1" t="s">
        <v>236</v>
      </c>
      <c r="E91" s="1">
        <v>11</v>
      </c>
      <c r="F91" s="1" t="s">
        <v>1390</v>
      </c>
      <c r="H91" s="1" t="s">
        <v>1683</v>
      </c>
      <c r="I91" s="1" t="s">
        <v>7</v>
      </c>
      <c r="J91" s="1" t="s">
        <v>1393</v>
      </c>
      <c r="K91" s="1" t="s">
        <v>1394</v>
      </c>
      <c r="L91" s="1" t="s">
        <v>1393</v>
      </c>
      <c r="M91" s="1" t="s">
        <v>1684</v>
      </c>
      <c r="N91" s="1" t="s">
        <v>1685</v>
      </c>
      <c r="O91" s="1">
        <v>1</v>
      </c>
      <c r="Q91" s="1">
        <v>2008</v>
      </c>
      <c r="R91" s="1" t="s">
        <v>1686</v>
      </c>
      <c r="S91" s="1" t="s">
        <v>27</v>
      </c>
      <c r="T91" s="6">
        <v>1</v>
      </c>
      <c r="V91" s="1">
        <v>717.3</v>
      </c>
      <c r="Y91" s="1">
        <v>25.45</v>
      </c>
      <c r="Z91" s="1">
        <v>74.55</v>
      </c>
      <c r="AC91" s="1">
        <v>16.21</v>
      </c>
      <c r="AI91" s="1">
        <v>8.3000000000000007</v>
      </c>
      <c r="AV91" s="1">
        <v>0.94</v>
      </c>
    </row>
    <row r="92" spans="1:153" x14ac:dyDescent="0.2">
      <c r="A92" s="1" t="s">
        <v>1687</v>
      </c>
      <c r="B92" s="1" t="s">
        <v>55</v>
      </c>
      <c r="C92" s="1" t="s">
        <v>236</v>
      </c>
      <c r="E92" s="1">
        <v>11</v>
      </c>
      <c r="F92" s="1" t="s">
        <v>1688</v>
      </c>
      <c r="H92" s="1" t="s">
        <v>1689</v>
      </c>
      <c r="I92" s="1" t="s">
        <v>7</v>
      </c>
      <c r="J92" s="1" t="s">
        <v>1690</v>
      </c>
      <c r="K92" s="1" t="s">
        <v>1691</v>
      </c>
      <c r="L92" s="1" t="s">
        <v>1692</v>
      </c>
      <c r="M92" s="1" t="s">
        <v>1684</v>
      </c>
      <c r="N92" s="1" t="s">
        <v>1693</v>
      </c>
      <c r="O92" s="1">
        <v>1</v>
      </c>
      <c r="Q92" s="1">
        <v>2008</v>
      </c>
      <c r="R92" s="1" t="s">
        <v>1686</v>
      </c>
      <c r="S92" s="1" t="s">
        <v>27</v>
      </c>
      <c r="T92" s="6">
        <v>1</v>
      </c>
      <c r="V92" s="1">
        <v>755.8</v>
      </c>
      <c r="Y92" s="1">
        <v>25.8</v>
      </c>
      <c r="Z92" s="1">
        <v>74.2</v>
      </c>
      <c r="AC92" s="1">
        <v>14.56</v>
      </c>
      <c r="AI92" s="1">
        <v>10.26</v>
      </c>
      <c r="AV92" s="1">
        <v>0.98</v>
      </c>
    </row>
    <row r="93" spans="1:153" x14ac:dyDescent="0.2">
      <c r="A93" s="1" t="s">
        <v>1694</v>
      </c>
      <c r="B93" s="1" t="s">
        <v>55</v>
      </c>
      <c r="C93" s="1" t="s">
        <v>236</v>
      </c>
      <c r="E93" s="1">
        <v>13</v>
      </c>
      <c r="F93" s="1" t="s">
        <v>1695</v>
      </c>
      <c r="H93" s="1" t="s">
        <v>1696</v>
      </c>
      <c r="I93" s="1" t="s">
        <v>7</v>
      </c>
      <c r="J93" s="1" t="s">
        <v>1697</v>
      </c>
      <c r="K93" s="1" t="s">
        <v>1698</v>
      </c>
      <c r="L93" s="1" t="s">
        <v>1697</v>
      </c>
      <c r="M93" s="1" t="s">
        <v>1699</v>
      </c>
      <c r="N93" s="1" t="s">
        <v>1700</v>
      </c>
      <c r="O93" s="1">
        <v>1</v>
      </c>
      <c r="Q93" s="1">
        <v>2008</v>
      </c>
      <c r="R93" s="1" t="s">
        <v>1686</v>
      </c>
      <c r="S93" s="1" t="s">
        <v>27</v>
      </c>
      <c r="T93" s="6">
        <v>1</v>
      </c>
      <c r="V93" s="1">
        <v>596.70000000000005</v>
      </c>
      <c r="Y93" s="1">
        <v>21.85</v>
      </c>
      <c r="Z93" s="1">
        <v>78.150000000000006</v>
      </c>
      <c r="AC93" s="1">
        <v>14.42</v>
      </c>
      <c r="AI93" s="1">
        <v>6.34</v>
      </c>
      <c r="AV93" s="1">
        <v>1.0900000000000001</v>
      </c>
    </row>
    <row r="94" spans="1:153" x14ac:dyDescent="0.2">
      <c r="A94" s="1" t="s">
        <v>1701</v>
      </c>
      <c r="B94" s="1" t="s">
        <v>55</v>
      </c>
      <c r="C94" s="1" t="s">
        <v>1702</v>
      </c>
      <c r="D94" s="1" t="s">
        <v>4</v>
      </c>
      <c r="E94" s="1">
        <v>38</v>
      </c>
      <c r="F94" s="1" t="s">
        <v>1703</v>
      </c>
      <c r="H94" s="1" t="s">
        <v>1704</v>
      </c>
      <c r="I94" s="1" t="s">
        <v>7</v>
      </c>
      <c r="K94" s="1" t="s">
        <v>1705</v>
      </c>
      <c r="L94" s="1" t="s">
        <v>1706</v>
      </c>
      <c r="M94" s="1" t="s">
        <v>1707</v>
      </c>
      <c r="N94" s="1" t="s">
        <v>1708</v>
      </c>
      <c r="O94" s="1">
        <v>1</v>
      </c>
      <c r="Q94" s="1">
        <v>1985</v>
      </c>
      <c r="R94" s="1" t="s">
        <v>1709</v>
      </c>
      <c r="S94" s="1" t="s">
        <v>27</v>
      </c>
      <c r="T94" s="6">
        <v>1</v>
      </c>
      <c r="U94" s="1">
        <v>0.35499999999999998</v>
      </c>
      <c r="Z94" s="1">
        <v>75.3</v>
      </c>
      <c r="AC94" s="1">
        <v>22.5</v>
      </c>
      <c r="AH94" s="1">
        <v>1</v>
      </c>
      <c r="AV94" s="1">
        <v>1.2</v>
      </c>
    </row>
    <row r="95" spans="1:153" x14ac:dyDescent="0.2">
      <c r="A95" s="1" t="s">
        <v>1710</v>
      </c>
      <c r="B95" s="1" t="s">
        <v>55</v>
      </c>
      <c r="C95" s="1" t="s">
        <v>1702</v>
      </c>
      <c r="D95" s="1" t="s">
        <v>2</v>
      </c>
      <c r="E95" s="1">
        <v>23</v>
      </c>
      <c r="F95" s="1" t="s">
        <v>1711</v>
      </c>
      <c r="H95" s="1" t="s">
        <v>1712</v>
      </c>
      <c r="I95" s="1" t="s">
        <v>7</v>
      </c>
      <c r="J95" s="1" t="s">
        <v>1713</v>
      </c>
      <c r="K95" s="1" t="s">
        <v>1714</v>
      </c>
      <c r="L95" s="1" t="s">
        <v>1713</v>
      </c>
      <c r="M95" s="1" t="s">
        <v>1715</v>
      </c>
      <c r="N95" s="1" t="s">
        <v>1716</v>
      </c>
      <c r="O95" s="1">
        <v>1</v>
      </c>
      <c r="Q95" s="1">
        <v>1985</v>
      </c>
      <c r="R95" s="1" t="s">
        <v>1709</v>
      </c>
      <c r="S95" s="1" t="s">
        <v>27</v>
      </c>
      <c r="T95" s="6">
        <v>1</v>
      </c>
      <c r="U95" s="1">
        <v>0.49</v>
      </c>
      <c r="Z95" s="1">
        <v>72.400000000000006</v>
      </c>
      <c r="AC95" s="1">
        <v>19.2</v>
      </c>
      <c r="AH95" s="1">
        <v>7.2</v>
      </c>
      <c r="AV95" s="1">
        <v>1.3</v>
      </c>
    </row>
    <row r="96" spans="1:153" x14ac:dyDescent="0.2">
      <c r="A96" s="1" t="s">
        <v>1717</v>
      </c>
      <c r="B96" s="1" t="s">
        <v>55</v>
      </c>
      <c r="C96" s="1" t="s">
        <v>1702</v>
      </c>
      <c r="D96" s="1" t="s">
        <v>2</v>
      </c>
      <c r="E96" s="1">
        <v>23</v>
      </c>
      <c r="F96" s="1" t="s">
        <v>1711</v>
      </c>
      <c r="H96" s="1" t="s">
        <v>1718</v>
      </c>
      <c r="I96" s="1" t="s">
        <v>7</v>
      </c>
      <c r="J96" s="1" t="s">
        <v>1713</v>
      </c>
      <c r="K96" s="1" t="s">
        <v>1714</v>
      </c>
      <c r="L96" s="1" t="s">
        <v>1713</v>
      </c>
      <c r="M96" s="1" t="s">
        <v>1715</v>
      </c>
      <c r="N96" s="1" t="s">
        <v>1719</v>
      </c>
      <c r="O96" s="1">
        <v>1</v>
      </c>
      <c r="Q96" s="1">
        <v>1985</v>
      </c>
      <c r="R96" s="1" t="s">
        <v>1709</v>
      </c>
      <c r="S96" s="1" t="s">
        <v>27</v>
      </c>
      <c r="T96" s="6">
        <v>1</v>
      </c>
      <c r="U96" s="1">
        <v>0.38400000000000001</v>
      </c>
      <c r="Z96" s="1">
        <v>75.599999999999994</v>
      </c>
      <c r="AC96" s="1">
        <v>18.8</v>
      </c>
      <c r="AH96" s="1">
        <v>4.3</v>
      </c>
      <c r="AV96" s="1">
        <v>1.4</v>
      </c>
    </row>
    <row r="97" spans="1:48" x14ac:dyDescent="0.2">
      <c r="A97" s="1" t="s">
        <v>1720</v>
      </c>
      <c r="B97" s="1" t="s">
        <v>55</v>
      </c>
      <c r="C97" s="1" t="s">
        <v>236</v>
      </c>
      <c r="E97" s="1">
        <v>11</v>
      </c>
      <c r="F97" s="1" t="s">
        <v>1721</v>
      </c>
      <c r="G97" s="1" t="s">
        <v>1722</v>
      </c>
      <c r="H97" s="1" t="s">
        <v>1723</v>
      </c>
      <c r="I97" s="1" t="s">
        <v>7</v>
      </c>
      <c r="J97" s="1" t="s">
        <v>1724</v>
      </c>
      <c r="L97" s="1" t="s">
        <v>1725</v>
      </c>
      <c r="P97" s="1" t="s">
        <v>1726</v>
      </c>
      <c r="Q97" s="1">
        <v>2008</v>
      </c>
      <c r="R97" s="1" t="s">
        <v>1727</v>
      </c>
      <c r="S97" s="1" t="s">
        <v>27</v>
      </c>
      <c r="T97" s="6">
        <v>1</v>
      </c>
      <c r="Z97" s="1">
        <v>78.3</v>
      </c>
      <c r="AE97" s="1">
        <v>19.5</v>
      </c>
      <c r="AJ97" s="1">
        <v>1.5</v>
      </c>
      <c r="AV97" s="1">
        <v>0.7</v>
      </c>
    </row>
    <row r="98" spans="1:48" x14ac:dyDescent="0.2">
      <c r="A98" s="1" t="s">
        <v>1728</v>
      </c>
      <c r="B98" s="1" t="s">
        <v>55</v>
      </c>
      <c r="C98" s="1" t="s">
        <v>236</v>
      </c>
      <c r="E98" s="1">
        <v>11</v>
      </c>
      <c r="F98" s="1" t="s">
        <v>1721</v>
      </c>
      <c r="G98" s="1" t="s">
        <v>1729</v>
      </c>
      <c r="H98" s="1" t="s">
        <v>1723</v>
      </c>
      <c r="I98" s="1" t="s">
        <v>7</v>
      </c>
      <c r="J98" s="1" t="s">
        <v>1730</v>
      </c>
      <c r="L98" s="1" t="s">
        <v>1725</v>
      </c>
      <c r="P98" s="1" t="s">
        <v>1726</v>
      </c>
      <c r="Q98" s="1">
        <v>2008</v>
      </c>
      <c r="R98" s="1" t="s">
        <v>1727</v>
      </c>
      <c r="S98" s="1" t="s">
        <v>27</v>
      </c>
      <c r="T98" s="6">
        <v>1</v>
      </c>
      <c r="Z98" s="1">
        <v>74.3</v>
      </c>
      <c r="AE98" s="1">
        <v>18.7</v>
      </c>
      <c r="AJ98" s="1">
        <v>6.1</v>
      </c>
      <c r="AV98" s="1">
        <v>0.75</v>
      </c>
    </row>
    <row r="99" spans="1:48" x14ac:dyDescent="0.2">
      <c r="A99" s="1" t="s">
        <v>1731</v>
      </c>
      <c r="B99" s="1" t="s">
        <v>55</v>
      </c>
      <c r="C99" s="1" t="s">
        <v>236</v>
      </c>
      <c r="E99" s="1">
        <v>11</v>
      </c>
      <c r="F99" s="1" t="s">
        <v>1390</v>
      </c>
      <c r="G99" s="1" t="s">
        <v>1732</v>
      </c>
      <c r="H99" s="1" t="s">
        <v>1733</v>
      </c>
      <c r="I99" s="1" t="s">
        <v>7</v>
      </c>
      <c r="J99" s="1" t="s">
        <v>1393</v>
      </c>
      <c r="K99" s="1" t="s">
        <v>1394</v>
      </c>
      <c r="L99" s="1" t="s">
        <v>1393</v>
      </c>
      <c r="P99" s="1" t="s">
        <v>1726</v>
      </c>
      <c r="Q99" s="1">
        <v>2008</v>
      </c>
      <c r="R99" s="1" t="s">
        <v>1727</v>
      </c>
      <c r="S99" s="1" t="s">
        <v>27</v>
      </c>
      <c r="T99" s="6">
        <v>1</v>
      </c>
      <c r="Z99" s="1">
        <v>73.099999999999994</v>
      </c>
      <c r="AE99" s="1">
        <v>17.399999999999999</v>
      </c>
      <c r="AJ99" s="1">
        <v>8.9</v>
      </c>
      <c r="AV99" s="1">
        <v>0.62</v>
      </c>
    </row>
    <row r="100" spans="1:48" x14ac:dyDescent="0.2">
      <c r="A100" s="1" t="s">
        <v>1734</v>
      </c>
      <c r="B100" s="1" t="s">
        <v>55</v>
      </c>
      <c r="C100" s="1" t="s">
        <v>236</v>
      </c>
      <c r="E100" s="1">
        <v>23</v>
      </c>
      <c r="F100" s="1" t="s">
        <v>1735</v>
      </c>
      <c r="G100" s="1" t="s">
        <v>1736</v>
      </c>
      <c r="H100" s="1" t="s">
        <v>1737</v>
      </c>
      <c r="I100" s="1" t="s">
        <v>7</v>
      </c>
      <c r="J100" s="1" t="s">
        <v>1738</v>
      </c>
      <c r="K100" s="1" t="s">
        <v>1739</v>
      </c>
      <c r="L100" s="1" t="s">
        <v>1738</v>
      </c>
      <c r="P100" s="1" t="s">
        <v>1726</v>
      </c>
      <c r="Q100" s="1">
        <v>2008</v>
      </c>
      <c r="R100" s="1" t="s">
        <v>1727</v>
      </c>
      <c r="S100" s="1" t="s">
        <v>27</v>
      </c>
      <c r="T100" s="6">
        <v>1</v>
      </c>
      <c r="Z100" s="1">
        <v>74.900000000000006</v>
      </c>
      <c r="AE100" s="1">
        <v>19.8</v>
      </c>
      <c r="AJ100" s="1">
        <v>4.5999999999999996</v>
      </c>
      <c r="AV100" s="1">
        <v>0.67</v>
      </c>
    </row>
    <row r="101" spans="1:48" x14ac:dyDescent="0.2">
      <c r="A101" s="1" t="s">
        <v>1740</v>
      </c>
      <c r="B101" s="1" t="s">
        <v>55</v>
      </c>
      <c r="C101" s="1" t="s">
        <v>236</v>
      </c>
      <c r="E101" s="1">
        <v>35</v>
      </c>
      <c r="F101" s="1" t="s">
        <v>1741</v>
      </c>
      <c r="H101" s="1" t="s">
        <v>1742</v>
      </c>
      <c r="I101" s="1" t="s">
        <v>7</v>
      </c>
      <c r="J101" s="1" t="s">
        <v>1743</v>
      </c>
      <c r="K101" s="1" t="s">
        <v>1744</v>
      </c>
      <c r="L101" s="1" t="s">
        <v>1743</v>
      </c>
      <c r="O101" s="1">
        <v>1</v>
      </c>
      <c r="P101" s="1" t="s">
        <v>1745</v>
      </c>
      <c r="Q101" s="1">
        <v>2008</v>
      </c>
      <c r="R101" s="1" t="s">
        <v>1746</v>
      </c>
      <c r="S101" s="1" t="s">
        <v>27</v>
      </c>
      <c r="T101" s="6">
        <v>1</v>
      </c>
      <c r="AH101" s="1">
        <v>7.51</v>
      </c>
      <c r="AK101" s="1">
        <v>1.52</v>
      </c>
      <c r="AL101" s="1">
        <v>0.93700000000000006</v>
      </c>
      <c r="AM101" s="1">
        <v>3.923</v>
      </c>
    </row>
    <row r="102" spans="1:48" x14ac:dyDescent="0.2">
      <c r="A102" s="1" t="s">
        <v>1747</v>
      </c>
      <c r="B102" s="1" t="s">
        <v>55</v>
      </c>
      <c r="C102" s="1" t="s">
        <v>236</v>
      </c>
      <c r="E102" s="1">
        <v>32</v>
      </c>
      <c r="F102" s="1" t="s">
        <v>1748</v>
      </c>
      <c r="H102" s="1" t="s">
        <v>1749</v>
      </c>
      <c r="I102" s="1" t="s">
        <v>7</v>
      </c>
      <c r="J102" s="1" t="s">
        <v>1750</v>
      </c>
      <c r="K102" s="1" t="s">
        <v>1751</v>
      </c>
      <c r="L102" s="1" t="s">
        <v>1750</v>
      </c>
      <c r="O102" s="1">
        <v>4</v>
      </c>
      <c r="P102" s="1" t="s">
        <v>1752</v>
      </c>
      <c r="Q102" s="1">
        <v>2008</v>
      </c>
      <c r="R102" s="1" t="s">
        <v>1746</v>
      </c>
      <c r="S102" s="1" t="s">
        <v>27</v>
      </c>
      <c r="T102" s="6">
        <v>1</v>
      </c>
      <c r="AH102" s="1">
        <v>0.3</v>
      </c>
      <c r="AK102" s="1">
        <v>5.7000000000000002E-2</v>
      </c>
      <c r="AL102" s="1">
        <v>2.4E-2</v>
      </c>
      <c r="AM102" s="1">
        <v>0.121</v>
      </c>
    </row>
    <row r="103" spans="1:48" x14ac:dyDescent="0.2">
      <c r="A103" s="1" t="s">
        <v>1753</v>
      </c>
      <c r="B103" s="1" t="s">
        <v>55</v>
      </c>
      <c r="C103" s="1" t="s">
        <v>236</v>
      </c>
      <c r="E103" s="1">
        <v>22</v>
      </c>
      <c r="F103" s="1" t="s">
        <v>1754</v>
      </c>
      <c r="H103" s="1" t="s">
        <v>1755</v>
      </c>
      <c r="I103" s="1" t="s">
        <v>7</v>
      </c>
      <c r="J103" s="1" t="s">
        <v>1756</v>
      </c>
      <c r="K103" s="1" t="s">
        <v>1757</v>
      </c>
      <c r="L103" s="1" t="s">
        <v>1756</v>
      </c>
      <c r="O103" s="1">
        <v>1</v>
      </c>
      <c r="P103" s="1" t="s">
        <v>1752</v>
      </c>
      <c r="Q103" s="1">
        <v>2008</v>
      </c>
      <c r="R103" s="1" t="s">
        <v>1746</v>
      </c>
      <c r="S103" s="1" t="s">
        <v>27</v>
      </c>
      <c r="T103" s="6">
        <v>1</v>
      </c>
      <c r="AH103" s="1">
        <v>20.399999999999999</v>
      </c>
      <c r="AK103" s="1">
        <v>5.5830000000000002</v>
      </c>
      <c r="AL103" s="1">
        <v>9.5909999999999993</v>
      </c>
      <c r="AM103" s="1">
        <v>3.2050000000000001</v>
      </c>
    </row>
    <row r="104" spans="1:48" x14ac:dyDescent="0.2">
      <c r="A104" s="1" t="s">
        <v>1758</v>
      </c>
      <c r="B104" s="1" t="s">
        <v>55</v>
      </c>
      <c r="C104" s="1" t="s">
        <v>236</v>
      </c>
      <c r="E104" s="1">
        <v>34</v>
      </c>
      <c r="F104" s="1" t="s">
        <v>1759</v>
      </c>
      <c r="H104" s="1" t="s">
        <v>1760</v>
      </c>
      <c r="I104" s="1" t="s">
        <v>7</v>
      </c>
      <c r="J104" s="1" t="s">
        <v>1761</v>
      </c>
      <c r="K104" s="1" t="s">
        <v>1762</v>
      </c>
      <c r="L104" s="1" t="s">
        <v>1761</v>
      </c>
      <c r="O104" s="1">
        <v>3</v>
      </c>
      <c r="P104" s="1" t="s">
        <v>1752</v>
      </c>
      <c r="Q104" s="1">
        <v>2008</v>
      </c>
      <c r="R104" s="1" t="s">
        <v>1746</v>
      </c>
      <c r="S104" s="1" t="s">
        <v>27</v>
      </c>
      <c r="T104" s="6">
        <v>1</v>
      </c>
      <c r="AH104" s="1">
        <v>5.78</v>
      </c>
      <c r="AK104" s="1">
        <v>0.84699999999999998</v>
      </c>
      <c r="AL104" s="1">
        <v>2.2120000000000002</v>
      </c>
      <c r="AM104" s="1">
        <v>2.141</v>
      </c>
    </row>
    <row r="105" spans="1:48" x14ac:dyDescent="0.2">
      <c r="A105" s="1" t="s">
        <v>1763</v>
      </c>
      <c r="B105" s="1" t="s">
        <v>55</v>
      </c>
      <c r="C105" s="1" t="s">
        <v>236</v>
      </c>
      <c r="E105" s="1">
        <v>23</v>
      </c>
      <c r="F105" s="1" t="s">
        <v>1764</v>
      </c>
      <c r="H105" s="1" t="s">
        <v>1765</v>
      </c>
      <c r="I105" s="1" t="s">
        <v>7</v>
      </c>
      <c r="J105" s="1" t="s">
        <v>1766</v>
      </c>
      <c r="K105" s="1" t="s">
        <v>1767</v>
      </c>
      <c r="L105" s="1" t="s">
        <v>1766</v>
      </c>
      <c r="O105" s="1">
        <v>4</v>
      </c>
      <c r="P105" s="1" t="s">
        <v>1752</v>
      </c>
      <c r="Q105" s="1">
        <v>2008</v>
      </c>
      <c r="R105" s="1" t="s">
        <v>1746</v>
      </c>
      <c r="S105" s="1" t="s">
        <v>27</v>
      </c>
      <c r="T105" s="6">
        <v>1</v>
      </c>
      <c r="AH105" s="1">
        <v>0.44</v>
      </c>
      <c r="AK105" s="1">
        <v>7.3999999999999996E-2</v>
      </c>
      <c r="AL105" s="1">
        <v>6.6000000000000003E-2</v>
      </c>
      <c r="AM105" s="1">
        <v>0.16800000000000001</v>
      </c>
    </row>
    <row r="106" spans="1:48" x14ac:dyDescent="0.2">
      <c r="A106" s="1" t="s">
        <v>1768</v>
      </c>
      <c r="B106" s="1" t="s">
        <v>55</v>
      </c>
      <c r="C106" s="1" t="s">
        <v>236</v>
      </c>
      <c r="E106" s="1">
        <v>32</v>
      </c>
      <c r="F106" s="1" t="s">
        <v>1769</v>
      </c>
      <c r="H106" s="1" t="s">
        <v>1770</v>
      </c>
      <c r="I106" s="1" t="s">
        <v>7</v>
      </c>
      <c r="J106" s="1" t="s">
        <v>1771</v>
      </c>
      <c r="K106" s="1" t="s">
        <v>1772</v>
      </c>
      <c r="L106" s="1" t="s">
        <v>1771</v>
      </c>
      <c r="O106" s="1">
        <v>2</v>
      </c>
      <c r="P106" s="1" t="s">
        <v>1752</v>
      </c>
      <c r="Q106" s="1">
        <v>2008</v>
      </c>
      <c r="R106" s="1" t="s">
        <v>1746</v>
      </c>
      <c r="S106" s="1" t="s">
        <v>27</v>
      </c>
      <c r="T106" s="6">
        <v>1</v>
      </c>
      <c r="AH106" s="1">
        <v>0.25</v>
      </c>
      <c r="AK106" s="1">
        <v>0.06</v>
      </c>
      <c r="AL106" s="1">
        <v>1.7999999999999999E-2</v>
      </c>
      <c r="AM106" s="1">
        <v>9.4E-2</v>
      </c>
    </row>
    <row r="107" spans="1:48" x14ac:dyDescent="0.2">
      <c r="A107" s="1" t="s">
        <v>1773</v>
      </c>
      <c r="B107" s="1" t="s">
        <v>55</v>
      </c>
      <c r="C107" s="1" t="s">
        <v>236</v>
      </c>
      <c r="E107" s="1">
        <v>32</v>
      </c>
      <c r="F107" s="1" t="s">
        <v>1774</v>
      </c>
      <c r="H107" s="1" t="s">
        <v>1775</v>
      </c>
      <c r="I107" s="1" t="s">
        <v>7</v>
      </c>
      <c r="J107" s="1" t="s">
        <v>1776</v>
      </c>
      <c r="K107" s="1" t="s">
        <v>1777</v>
      </c>
      <c r="L107" s="1" t="s">
        <v>1776</v>
      </c>
      <c r="O107" s="1">
        <v>4</v>
      </c>
      <c r="P107" s="1" t="s">
        <v>1752</v>
      </c>
      <c r="Q107" s="1">
        <v>2008</v>
      </c>
      <c r="R107" s="1" t="s">
        <v>1746</v>
      </c>
      <c r="S107" s="1" t="s">
        <v>27</v>
      </c>
      <c r="T107" s="6">
        <v>1</v>
      </c>
      <c r="AH107" s="1">
        <v>0.59</v>
      </c>
      <c r="AK107" s="1">
        <v>0.13</v>
      </c>
      <c r="AL107" s="1">
        <v>8.6999999999999994E-2</v>
      </c>
      <c r="AM107" s="1">
        <v>0.193</v>
      </c>
    </row>
    <row r="108" spans="1:48" x14ac:dyDescent="0.2">
      <c r="A108" s="1" t="s">
        <v>1778</v>
      </c>
      <c r="B108" s="1" t="s">
        <v>55</v>
      </c>
      <c r="C108" s="1" t="s">
        <v>236</v>
      </c>
      <c r="E108" s="1">
        <v>34</v>
      </c>
      <c r="F108" s="1" t="s">
        <v>1779</v>
      </c>
      <c r="H108" s="1" t="s">
        <v>1780</v>
      </c>
      <c r="I108" s="1" t="s">
        <v>7</v>
      </c>
      <c r="J108" s="1" t="s">
        <v>1781</v>
      </c>
      <c r="K108" s="1" t="s">
        <v>1782</v>
      </c>
      <c r="L108" s="1" t="s">
        <v>1781</v>
      </c>
      <c r="O108" s="1">
        <v>2</v>
      </c>
      <c r="P108" s="1" t="s">
        <v>1752</v>
      </c>
      <c r="Q108" s="1">
        <v>2008</v>
      </c>
      <c r="R108" s="1" t="s">
        <v>1746</v>
      </c>
      <c r="S108" s="1" t="s">
        <v>27</v>
      </c>
      <c r="T108" s="6">
        <v>1</v>
      </c>
      <c r="AH108" s="1">
        <v>0.59</v>
      </c>
      <c r="AK108" s="1">
        <v>0.129</v>
      </c>
      <c r="AL108" s="1">
        <v>6.3E-2</v>
      </c>
      <c r="AM108" s="1">
        <v>0.217</v>
      </c>
    </row>
    <row r="109" spans="1:48" x14ac:dyDescent="0.2">
      <c r="A109" s="1" t="s">
        <v>1783</v>
      </c>
      <c r="B109" s="1" t="s">
        <v>55</v>
      </c>
      <c r="C109" s="1" t="s">
        <v>236</v>
      </c>
      <c r="E109" s="1">
        <v>37</v>
      </c>
      <c r="F109" s="1" t="s">
        <v>1601</v>
      </c>
      <c r="H109" s="1" t="s">
        <v>1784</v>
      </c>
      <c r="I109" s="1" t="s">
        <v>7</v>
      </c>
      <c r="J109" s="1" t="s">
        <v>1603</v>
      </c>
      <c r="K109" s="1" t="s">
        <v>1604</v>
      </c>
      <c r="L109" s="1" t="s">
        <v>1603</v>
      </c>
      <c r="O109" s="1">
        <v>4</v>
      </c>
      <c r="P109" s="1" t="s">
        <v>1752</v>
      </c>
      <c r="Q109" s="1">
        <v>2008</v>
      </c>
      <c r="R109" s="1" t="s">
        <v>1746</v>
      </c>
      <c r="S109" s="1" t="s">
        <v>27</v>
      </c>
      <c r="T109" s="6">
        <v>1</v>
      </c>
      <c r="AH109" s="1">
        <v>7.07</v>
      </c>
      <c r="AK109" s="1">
        <v>1.867</v>
      </c>
      <c r="AL109" s="1">
        <v>1.4359999999999999</v>
      </c>
      <c r="AM109" s="1">
        <v>2.8450000000000002</v>
      </c>
    </row>
    <row r="110" spans="1:48" x14ac:dyDescent="0.2">
      <c r="A110" s="1" t="s">
        <v>1785</v>
      </c>
      <c r="B110" s="1" t="s">
        <v>55</v>
      </c>
      <c r="C110" s="1" t="s">
        <v>236</v>
      </c>
      <c r="E110" s="1">
        <v>32</v>
      </c>
      <c r="F110" s="1" t="s">
        <v>1786</v>
      </c>
      <c r="H110" s="1" t="s">
        <v>1787</v>
      </c>
      <c r="I110" s="1" t="s">
        <v>7</v>
      </c>
      <c r="J110" s="1" t="s">
        <v>1788</v>
      </c>
      <c r="K110" s="1" t="s">
        <v>1789</v>
      </c>
      <c r="L110" s="1" t="s">
        <v>1788</v>
      </c>
      <c r="O110" s="1">
        <v>3</v>
      </c>
      <c r="P110" s="1" t="s">
        <v>1752</v>
      </c>
      <c r="Q110" s="1">
        <v>2008</v>
      </c>
      <c r="R110" s="1" t="s">
        <v>1746</v>
      </c>
      <c r="S110" s="1" t="s">
        <v>27</v>
      </c>
      <c r="T110" s="6">
        <v>1</v>
      </c>
      <c r="AH110" s="1">
        <v>0.27</v>
      </c>
      <c r="AK110" s="1">
        <v>6.4000000000000001E-2</v>
      </c>
      <c r="AL110" s="1">
        <v>2.4E-2</v>
      </c>
      <c r="AM110" s="1">
        <v>0.10299999999999999</v>
      </c>
    </row>
    <row r="111" spans="1:48" x14ac:dyDescent="0.2">
      <c r="A111" s="1" t="s">
        <v>1790</v>
      </c>
      <c r="B111" s="1" t="s">
        <v>55</v>
      </c>
      <c r="C111" s="1" t="s">
        <v>236</v>
      </c>
      <c r="E111" s="1">
        <v>32</v>
      </c>
      <c r="F111" s="1" t="s">
        <v>1791</v>
      </c>
      <c r="H111" s="1" t="s">
        <v>1792</v>
      </c>
      <c r="I111" s="1" t="s">
        <v>7</v>
      </c>
      <c r="J111" s="1" t="s">
        <v>1793</v>
      </c>
      <c r="K111" s="1" t="s">
        <v>1794</v>
      </c>
      <c r="L111" s="1" t="s">
        <v>1793</v>
      </c>
      <c r="O111" s="1">
        <v>4</v>
      </c>
      <c r="P111" s="1" t="s">
        <v>1752</v>
      </c>
      <c r="Q111" s="1">
        <v>2008</v>
      </c>
      <c r="R111" s="1" t="s">
        <v>1746</v>
      </c>
      <c r="S111" s="1" t="s">
        <v>27</v>
      </c>
      <c r="T111" s="6">
        <v>1</v>
      </c>
      <c r="AH111" s="1">
        <v>1.04</v>
      </c>
      <c r="AK111" s="1">
        <v>0.20599999999999999</v>
      </c>
      <c r="AL111" s="1">
        <v>0.17399999999999999</v>
      </c>
      <c r="AM111" s="1">
        <v>0.39100000000000001</v>
      </c>
    </row>
    <row r="112" spans="1:48" x14ac:dyDescent="0.2">
      <c r="A112" s="1" t="s">
        <v>1795</v>
      </c>
      <c r="B112" s="1" t="s">
        <v>55</v>
      </c>
      <c r="C112" s="1" t="s">
        <v>236</v>
      </c>
      <c r="E112" s="1">
        <v>23</v>
      </c>
      <c r="F112" s="1" t="s">
        <v>1274</v>
      </c>
      <c r="H112" s="1" t="s">
        <v>1796</v>
      </c>
      <c r="I112" s="1" t="s">
        <v>7</v>
      </c>
      <c r="J112" s="1" t="s">
        <v>1276</v>
      </c>
      <c r="K112" s="1" t="s">
        <v>1277</v>
      </c>
      <c r="L112" s="1" t="s">
        <v>1276</v>
      </c>
      <c r="O112" s="1">
        <v>4</v>
      </c>
      <c r="P112" s="1" t="s">
        <v>1752</v>
      </c>
      <c r="Q112" s="1">
        <v>2008</v>
      </c>
      <c r="R112" s="1" t="s">
        <v>1746</v>
      </c>
      <c r="S112" s="1" t="s">
        <v>27</v>
      </c>
      <c r="T112" s="6">
        <v>1</v>
      </c>
      <c r="AH112" s="1">
        <v>13.5</v>
      </c>
      <c r="AK112" s="1">
        <v>4.0060000000000002</v>
      </c>
      <c r="AL112" s="1">
        <v>3.2370000000000001</v>
      </c>
      <c r="AM112" s="1">
        <v>5.1459999999999999</v>
      </c>
    </row>
    <row r="113" spans="1:39" x14ac:dyDescent="0.2">
      <c r="A113" s="1" t="s">
        <v>1797</v>
      </c>
      <c r="B113" s="1" t="s">
        <v>55</v>
      </c>
      <c r="C113" s="1" t="s">
        <v>236</v>
      </c>
      <c r="E113" s="1">
        <v>35</v>
      </c>
      <c r="F113" s="1" t="s">
        <v>1798</v>
      </c>
      <c r="H113" s="1" t="s">
        <v>1799</v>
      </c>
      <c r="I113" s="1" t="s">
        <v>7</v>
      </c>
      <c r="J113" s="1" t="s">
        <v>1800</v>
      </c>
      <c r="K113" s="1" t="s">
        <v>1801</v>
      </c>
      <c r="L113" s="1" t="s">
        <v>1800</v>
      </c>
      <c r="O113" s="1">
        <v>4</v>
      </c>
      <c r="P113" s="1" t="s">
        <v>1752</v>
      </c>
      <c r="Q113" s="1">
        <v>2008</v>
      </c>
      <c r="R113" s="1" t="s">
        <v>1746</v>
      </c>
      <c r="S113" s="1" t="s">
        <v>27</v>
      </c>
      <c r="T113" s="6">
        <v>1</v>
      </c>
      <c r="AH113" s="1">
        <v>5.72</v>
      </c>
      <c r="AK113" s="1">
        <v>1.7789999999999999</v>
      </c>
      <c r="AL113" s="1">
        <v>1.081</v>
      </c>
      <c r="AM113" s="1">
        <v>2.407</v>
      </c>
    </row>
    <row r="114" spans="1:39" x14ac:dyDescent="0.2">
      <c r="A114" s="1" t="s">
        <v>1802</v>
      </c>
      <c r="B114" s="1" t="s">
        <v>55</v>
      </c>
      <c r="C114" s="1" t="s">
        <v>236</v>
      </c>
      <c r="E114" s="1">
        <v>33</v>
      </c>
      <c r="F114" s="1" t="s">
        <v>1289</v>
      </c>
      <c r="H114" s="1" t="s">
        <v>1803</v>
      </c>
      <c r="I114" s="1" t="s">
        <v>7</v>
      </c>
      <c r="J114" s="1" t="s">
        <v>1291</v>
      </c>
      <c r="K114" s="1" t="s">
        <v>1292</v>
      </c>
      <c r="L114" s="1" t="s">
        <v>1291</v>
      </c>
      <c r="O114" s="1">
        <v>4</v>
      </c>
      <c r="P114" s="1" t="s">
        <v>1752</v>
      </c>
      <c r="Q114" s="1">
        <v>2008</v>
      </c>
      <c r="R114" s="1" t="s">
        <v>1746</v>
      </c>
      <c r="S114" s="1" t="s">
        <v>27</v>
      </c>
      <c r="T114" s="6">
        <v>1</v>
      </c>
      <c r="AH114" s="1">
        <v>2.99</v>
      </c>
      <c r="AK114" s="1">
        <v>0.73199999999999998</v>
      </c>
      <c r="AL114" s="1">
        <v>0.56100000000000005</v>
      </c>
      <c r="AM114" s="1">
        <v>1.2210000000000001</v>
      </c>
    </row>
    <row r="115" spans="1:39" x14ac:dyDescent="0.2">
      <c r="A115" s="1" t="s">
        <v>1804</v>
      </c>
      <c r="B115" s="1" t="s">
        <v>55</v>
      </c>
      <c r="C115" s="1" t="s">
        <v>236</v>
      </c>
      <c r="E115" s="1">
        <v>31</v>
      </c>
      <c r="F115" s="1" t="s">
        <v>1805</v>
      </c>
      <c r="H115" s="1" t="s">
        <v>1806</v>
      </c>
      <c r="I115" s="1" t="s">
        <v>7</v>
      </c>
      <c r="J115" s="1" t="s">
        <v>1807</v>
      </c>
      <c r="K115" s="1" t="s">
        <v>1808</v>
      </c>
      <c r="L115" s="1" t="s">
        <v>1807</v>
      </c>
      <c r="O115" s="1">
        <v>4</v>
      </c>
      <c r="P115" s="1" t="s">
        <v>1752</v>
      </c>
      <c r="Q115" s="1">
        <v>2008</v>
      </c>
      <c r="R115" s="1" t="s">
        <v>1746</v>
      </c>
      <c r="S115" s="1" t="s">
        <v>27</v>
      </c>
      <c r="T115" s="6">
        <v>1</v>
      </c>
      <c r="AH115" s="1">
        <v>0.4</v>
      </c>
      <c r="AK115" s="1">
        <v>0.10100000000000001</v>
      </c>
      <c r="AL115" s="1">
        <v>5.1999999999999998E-2</v>
      </c>
      <c r="AM115" s="1">
        <v>0.128</v>
      </c>
    </row>
    <row r="116" spans="1:39" x14ac:dyDescent="0.2">
      <c r="A116" s="1" t="s">
        <v>1809</v>
      </c>
      <c r="B116" s="1" t="s">
        <v>55</v>
      </c>
      <c r="C116" s="1" t="s">
        <v>236</v>
      </c>
      <c r="E116" s="1">
        <v>36</v>
      </c>
      <c r="F116" s="1" t="s">
        <v>1810</v>
      </c>
      <c r="H116" s="1" t="s">
        <v>1811</v>
      </c>
      <c r="I116" s="1" t="s">
        <v>7</v>
      </c>
      <c r="J116" s="1" t="s">
        <v>1812</v>
      </c>
      <c r="K116" s="1" t="s">
        <v>1813</v>
      </c>
      <c r="L116" s="1" t="s">
        <v>1812</v>
      </c>
      <c r="O116" s="1">
        <v>4</v>
      </c>
      <c r="P116" s="1" t="s">
        <v>1752</v>
      </c>
      <c r="Q116" s="1">
        <v>2008</v>
      </c>
      <c r="R116" s="1" t="s">
        <v>1746</v>
      </c>
      <c r="S116" s="1" t="s">
        <v>27</v>
      </c>
      <c r="T116" s="6">
        <v>1</v>
      </c>
      <c r="AH116" s="1">
        <v>12.4</v>
      </c>
      <c r="AK116" s="1">
        <v>3.3980000000000001</v>
      </c>
      <c r="AL116" s="1">
        <v>3.3279999999999998</v>
      </c>
      <c r="AM116" s="1">
        <v>4.3310000000000004</v>
      </c>
    </row>
    <row r="117" spans="1:39" x14ac:dyDescent="0.2">
      <c r="A117" s="1" t="s">
        <v>1814</v>
      </c>
      <c r="B117" s="1" t="s">
        <v>55</v>
      </c>
      <c r="C117" s="1" t="s">
        <v>236</v>
      </c>
      <c r="E117" s="1">
        <v>36</v>
      </c>
      <c r="F117" s="1" t="s">
        <v>1815</v>
      </c>
      <c r="H117" s="1" t="s">
        <v>1816</v>
      </c>
      <c r="I117" s="1" t="s">
        <v>7</v>
      </c>
      <c r="J117" s="1" t="s">
        <v>1817</v>
      </c>
      <c r="K117" s="1" t="s">
        <v>1818</v>
      </c>
      <c r="L117" s="1" t="s">
        <v>1817</v>
      </c>
      <c r="O117" s="1">
        <v>4</v>
      </c>
      <c r="P117" s="1" t="s">
        <v>1752</v>
      </c>
      <c r="Q117" s="1">
        <v>2008</v>
      </c>
      <c r="R117" s="1" t="s">
        <v>1746</v>
      </c>
      <c r="S117" s="1" t="s">
        <v>27</v>
      </c>
      <c r="T117" s="6">
        <v>1</v>
      </c>
      <c r="AH117" s="1">
        <v>0.73</v>
      </c>
      <c r="AK117" s="1">
        <v>0.187</v>
      </c>
      <c r="AL117" s="1">
        <v>0.113</v>
      </c>
      <c r="AM117" s="1">
        <v>0.21099999999999999</v>
      </c>
    </row>
    <row r="118" spans="1:39" x14ac:dyDescent="0.2">
      <c r="A118" s="1" t="s">
        <v>1819</v>
      </c>
      <c r="B118" s="1" t="s">
        <v>55</v>
      </c>
      <c r="C118" s="1" t="s">
        <v>236</v>
      </c>
      <c r="E118" s="1">
        <v>34</v>
      </c>
      <c r="F118" s="1" t="s">
        <v>1820</v>
      </c>
      <c r="H118" s="1" t="s">
        <v>1821</v>
      </c>
      <c r="I118" s="1" t="s">
        <v>7</v>
      </c>
      <c r="J118" s="1" t="s">
        <v>1822</v>
      </c>
      <c r="K118" s="1" t="s">
        <v>1823</v>
      </c>
      <c r="L118" s="1" t="s">
        <v>1824</v>
      </c>
      <c r="O118" s="1">
        <v>4</v>
      </c>
      <c r="P118" s="1" t="s">
        <v>1825</v>
      </c>
      <c r="Q118" s="1">
        <v>2008</v>
      </c>
      <c r="R118" s="1" t="s">
        <v>1746</v>
      </c>
      <c r="S118" s="1" t="s">
        <v>27</v>
      </c>
      <c r="T118" s="6">
        <v>1</v>
      </c>
      <c r="AH118" s="1">
        <v>0.21</v>
      </c>
      <c r="AK118" s="1">
        <v>5.1999999999999998E-2</v>
      </c>
      <c r="AL118" s="1">
        <v>3.3000000000000002E-2</v>
      </c>
      <c r="AM118" s="1">
        <v>7.0999999999999994E-2</v>
      </c>
    </row>
    <row r="119" spans="1:39" x14ac:dyDescent="0.2">
      <c r="A119" s="1" t="s">
        <v>1826</v>
      </c>
      <c r="B119" s="1" t="s">
        <v>55</v>
      </c>
      <c r="C119" s="1" t="s">
        <v>236</v>
      </c>
      <c r="E119" s="1">
        <v>38</v>
      </c>
      <c r="F119" s="1" t="s">
        <v>1827</v>
      </c>
      <c r="H119" s="1" t="s">
        <v>1828</v>
      </c>
      <c r="I119" s="1" t="s">
        <v>7</v>
      </c>
      <c r="J119" s="1" t="s">
        <v>1829</v>
      </c>
      <c r="K119" s="1" t="s">
        <v>1830</v>
      </c>
      <c r="L119" s="1" t="s">
        <v>1831</v>
      </c>
      <c r="O119" s="1">
        <v>4</v>
      </c>
      <c r="P119" s="1" t="s">
        <v>1832</v>
      </c>
      <c r="Q119" s="1">
        <v>2008</v>
      </c>
      <c r="R119" s="1" t="s">
        <v>1746</v>
      </c>
      <c r="S119" s="1" t="s">
        <v>27</v>
      </c>
      <c r="T119" s="6">
        <v>1</v>
      </c>
      <c r="AH119" s="1">
        <v>0.55000000000000004</v>
      </c>
      <c r="AK119" s="1">
        <v>9.2999999999999999E-2</v>
      </c>
      <c r="AL119" s="1">
        <v>7.0000000000000007E-2</v>
      </c>
      <c r="AM119" s="1">
        <v>0.219</v>
      </c>
    </row>
    <row r="120" spans="1:39" x14ac:dyDescent="0.2">
      <c r="A120" s="1" t="s">
        <v>1833</v>
      </c>
      <c r="B120" s="1" t="s">
        <v>55</v>
      </c>
      <c r="C120" s="1" t="s">
        <v>236</v>
      </c>
      <c r="E120" s="1">
        <v>31</v>
      </c>
      <c r="F120" s="1" t="s">
        <v>1834</v>
      </c>
      <c r="H120" s="1" t="s">
        <v>1835</v>
      </c>
      <c r="I120" s="1" t="s">
        <v>7</v>
      </c>
      <c r="J120" s="1" t="s">
        <v>1836</v>
      </c>
      <c r="K120" s="1" t="s">
        <v>1837</v>
      </c>
      <c r="L120" s="1" t="s">
        <v>1838</v>
      </c>
      <c r="O120" s="1">
        <v>4</v>
      </c>
      <c r="P120" s="1" t="s">
        <v>1839</v>
      </c>
      <c r="Q120" s="1">
        <v>2008</v>
      </c>
      <c r="R120" s="1" t="s">
        <v>1746</v>
      </c>
      <c r="S120" s="1" t="s">
        <v>27</v>
      </c>
      <c r="T120" s="6">
        <v>1</v>
      </c>
      <c r="AH120" s="1">
        <v>0.72</v>
      </c>
      <c r="AK120" s="1">
        <v>0.17399999999999999</v>
      </c>
      <c r="AL120" s="1">
        <v>0.12</v>
      </c>
      <c r="AM120" s="1">
        <v>0.28100000000000003</v>
      </c>
    </row>
    <row r="121" spans="1:39" x14ac:dyDescent="0.2">
      <c r="A121" s="1" t="s">
        <v>1840</v>
      </c>
      <c r="B121" s="1" t="s">
        <v>55</v>
      </c>
      <c r="C121" s="1" t="s">
        <v>236</v>
      </c>
      <c r="E121" s="1">
        <v>33</v>
      </c>
      <c r="F121" s="1" t="s">
        <v>1841</v>
      </c>
      <c r="H121" s="1" t="s">
        <v>1842</v>
      </c>
      <c r="I121" s="1" t="s">
        <v>7</v>
      </c>
      <c r="J121" s="1" t="s">
        <v>1843</v>
      </c>
      <c r="K121" s="1" t="s">
        <v>1844</v>
      </c>
      <c r="L121" s="1" t="s">
        <v>1845</v>
      </c>
      <c r="O121" s="1">
        <v>2</v>
      </c>
      <c r="P121" s="1" t="s">
        <v>1846</v>
      </c>
      <c r="Q121" s="1">
        <v>2008</v>
      </c>
      <c r="R121" s="1" t="s">
        <v>1746</v>
      </c>
      <c r="S121" s="1" t="s">
        <v>27</v>
      </c>
      <c r="T121" s="6">
        <v>1</v>
      </c>
      <c r="AH121" s="1">
        <v>3.75</v>
      </c>
      <c r="AK121" s="1">
        <v>0.90800000000000003</v>
      </c>
      <c r="AL121" s="1">
        <v>0.80100000000000005</v>
      </c>
      <c r="AM121" s="1">
        <v>1.2949999999999999</v>
      </c>
    </row>
    <row r="122" spans="1:39" x14ac:dyDescent="0.2">
      <c r="A122" s="1" t="s">
        <v>1847</v>
      </c>
      <c r="B122" s="1" t="s">
        <v>55</v>
      </c>
      <c r="C122" s="1" t="s">
        <v>236</v>
      </c>
      <c r="E122" s="1">
        <v>34</v>
      </c>
      <c r="F122" s="1" t="s">
        <v>1848</v>
      </c>
      <c r="H122" s="1" t="s">
        <v>1849</v>
      </c>
      <c r="I122" s="1" t="s">
        <v>7</v>
      </c>
      <c r="J122" s="1" t="s">
        <v>1850</v>
      </c>
      <c r="K122" s="1" t="s">
        <v>1851</v>
      </c>
      <c r="L122" s="1" t="s">
        <v>1852</v>
      </c>
      <c r="O122" s="1">
        <v>3</v>
      </c>
      <c r="P122" s="1" t="s">
        <v>1853</v>
      </c>
      <c r="Q122" s="1">
        <v>2008</v>
      </c>
      <c r="R122" s="1" t="s">
        <v>1746</v>
      </c>
      <c r="S122" s="1" t="s">
        <v>27</v>
      </c>
      <c r="T122" s="6">
        <v>1</v>
      </c>
      <c r="AH122" s="1">
        <v>0.73</v>
      </c>
      <c r="AK122" s="1">
        <v>0.33600000000000002</v>
      </c>
      <c r="AL122" s="1">
        <v>0.12</v>
      </c>
      <c r="AM122" s="1">
        <v>5.3999999999999999E-2</v>
      </c>
    </row>
    <row r="123" spans="1:39" x14ac:dyDescent="0.2">
      <c r="A123" s="1" t="s">
        <v>1854</v>
      </c>
      <c r="B123" s="1" t="s">
        <v>55</v>
      </c>
      <c r="C123" s="1" t="s">
        <v>236</v>
      </c>
      <c r="E123" s="1">
        <v>31</v>
      </c>
      <c r="F123" s="1" t="s">
        <v>1834</v>
      </c>
      <c r="H123" s="1" t="s">
        <v>1855</v>
      </c>
      <c r="I123" s="1" t="s">
        <v>7</v>
      </c>
      <c r="J123" s="1" t="s">
        <v>1856</v>
      </c>
      <c r="K123" s="1" t="s">
        <v>1837</v>
      </c>
      <c r="L123" s="1" t="s">
        <v>1838</v>
      </c>
      <c r="O123" s="1">
        <v>1</v>
      </c>
      <c r="P123" s="1" t="s">
        <v>1857</v>
      </c>
      <c r="Q123" s="1">
        <v>2008</v>
      </c>
      <c r="R123" s="1" t="s">
        <v>1746</v>
      </c>
      <c r="S123" s="1" t="s">
        <v>27</v>
      </c>
      <c r="T123" s="6">
        <v>1</v>
      </c>
      <c r="AH123" s="1">
        <v>11.7</v>
      </c>
      <c r="AK123" s="1">
        <v>3.0409999999999999</v>
      </c>
      <c r="AL123" s="1">
        <v>3.069</v>
      </c>
      <c r="AM123" s="1">
        <v>4.1859999999999999</v>
      </c>
    </row>
    <row r="124" spans="1:39" x14ac:dyDescent="0.2">
      <c r="A124" s="1" t="s">
        <v>1858</v>
      </c>
      <c r="B124" s="1" t="s">
        <v>55</v>
      </c>
      <c r="C124" s="1" t="s">
        <v>236</v>
      </c>
      <c r="E124" s="1">
        <v>32</v>
      </c>
      <c r="F124" s="1" t="s">
        <v>1859</v>
      </c>
      <c r="H124" s="1" t="s">
        <v>1860</v>
      </c>
      <c r="I124" s="1" t="s">
        <v>7</v>
      </c>
      <c r="J124" s="1" t="s">
        <v>1861</v>
      </c>
      <c r="K124" s="1" t="s">
        <v>1862</v>
      </c>
      <c r="L124" s="1" t="s">
        <v>1863</v>
      </c>
      <c r="O124" s="1">
        <v>4</v>
      </c>
      <c r="P124" s="1" t="s">
        <v>1864</v>
      </c>
      <c r="Q124" s="1">
        <v>2008</v>
      </c>
      <c r="R124" s="1" t="s">
        <v>1746</v>
      </c>
      <c r="S124" s="1" t="s">
        <v>27</v>
      </c>
      <c r="T124" s="6">
        <v>1</v>
      </c>
      <c r="AH124" s="1">
        <v>0.33</v>
      </c>
      <c r="AK124" s="1">
        <v>6.5000000000000002E-2</v>
      </c>
      <c r="AL124" s="1">
        <v>4.4999999999999998E-2</v>
      </c>
      <c r="AM124" s="1">
        <v>0.11700000000000001</v>
      </c>
    </row>
    <row r="125" spans="1:39" x14ac:dyDescent="0.2">
      <c r="A125" s="1" t="s">
        <v>1865</v>
      </c>
      <c r="B125" s="1" t="s">
        <v>55</v>
      </c>
      <c r="C125" s="1" t="s">
        <v>236</v>
      </c>
      <c r="E125" s="1">
        <v>31</v>
      </c>
      <c r="F125" s="1" t="s">
        <v>1834</v>
      </c>
      <c r="H125" s="1" t="s">
        <v>1866</v>
      </c>
      <c r="I125" s="1" t="s">
        <v>7</v>
      </c>
      <c r="J125" s="1" t="s">
        <v>1867</v>
      </c>
      <c r="K125" s="1" t="s">
        <v>1837</v>
      </c>
      <c r="L125" s="1" t="s">
        <v>1838</v>
      </c>
      <c r="O125" s="1">
        <v>4</v>
      </c>
      <c r="P125" s="1" t="s">
        <v>1868</v>
      </c>
      <c r="Q125" s="1">
        <v>2008</v>
      </c>
      <c r="R125" s="1" t="s">
        <v>1746</v>
      </c>
      <c r="S125" s="1" t="s">
        <v>27</v>
      </c>
      <c r="T125" s="6">
        <v>1</v>
      </c>
      <c r="AH125" s="1">
        <v>0.37</v>
      </c>
      <c r="AK125" s="1">
        <v>9.7000000000000003E-2</v>
      </c>
      <c r="AL125" s="1">
        <v>5.2999999999999999E-2</v>
      </c>
      <c r="AM125" s="1">
        <v>0.111</v>
      </c>
    </row>
    <row r="126" spans="1:39" x14ac:dyDescent="0.2">
      <c r="A126" s="1" t="s">
        <v>1869</v>
      </c>
      <c r="B126" s="1" t="s">
        <v>55</v>
      </c>
      <c r="C126" s="1" t="s">
        <v>236</v>
      </c>
      <c r="E126" s="1">
        <v>32</v>
      </c>
      <c r="F126" s="1" t="s">
        <v>1870</v>
      </c>
      <c r="H126" s="1" t="s">
        <v>1871</v>
      </c>
      <c r="I126" s="1" t="s">
        <v>7</v>
      </c>
      <c r="J126" s="1" t="s">
        <v>1872</v>
      </c>
      <c r="K126" s="1" t="s">
        <v>1873</v>
      </c>
      <c r="L126" s="1" t="s">
        <v>1874</v>
      </c>
      <c r="O126" s="1">
        <v>1</v>
      </c>
      <c r="P126" s="1" t="s">
        <v>1875</v>
      </c>
      <c r="Q126" s="1">
        <v>2008</v>
      </c>
      <c r="R126" s="1" t="s">
        <v>1746</v>
      </c>
      <c r="S126" s="1" t="s">
        <v>27</v>
      </c>
      <c r="T126" s="6">
        <v>1</v>
      </c>
      <c r="AH126" s="1">
        <v>0.28999999999999998</v>
      </c>
      <c r="AK126" s="1">
        <v>8.8999999999999996E-2</v>
      </c>
      <c r="AL126" s="1">
        <v>0.02</v>
      </c>
      <c r="AM126" s="1">
        <v>9.0999999999999998E-2</v>
      </c>
    </row>
    <row r="127" spans="1:39" x14ac:dyDescent="0.2">
      <c r="A127" s="1" t="s">
        <v>1876</v>
      </c>
      <c r="B127" s="1" t="s">
        <v>55</v>
      </c>
      <c r="C127" s="1" t="s">
        <v>236</v>
      </c>
      <c r="E127" s="1">
        <v>38</v>
      </c>
      <c r="F127" s="1" t="s">
        <v>1877</v>
      </c>
      <c r="H127" s="1" t="s">
        <v>1878</v>
      </c>
      <c r="I127" s="1" t="s">
        <v>7</v>
      </c>
      <c r="J127" s="1" t="s">
        <v>1879</v>
      </c>
      <c r="K127" s="1" t="s">
        <v>1880</v>
      </c>
      <c r="L127" s="1" t="s">
        <v>1881</v>
      </c>
      <c r="O127" s="1">
        <v>4</v>
      </c>
      <c r="P127" s="1" t="s">
        <v>1882</v>
      </c>
      <c r="Q127" s="1">
        <v>2008</v>
      </c>
      <c r="R127" s="1" t="s">
        <v>1746</v>
      </c>
      <c r="S127" s="1" t="s">
        <v>27</v>
      </c>
      <c r="T127" s="6">
        <v>1</v>
      </c>
      <c r="AH127" s="1">
        <v>0.61</v>
      </c>
      <c r="AK127" s="1">
        <v>0.129</v>
      </c>
      <c r="AL127" s="1">
        <v>7.6999999999999999E-2</v>
      </c>
      <c r="AM127" s="1">
        <v>0.216</v>
      </c>
    </row>
    <row r="128" spans="1:39" x14ac:dyDescent="0.2">
      <c r="A128" s="1" t="s">
        <v>1883</v>
      </c>
      <c r="B128" s="1" t="s">
        <v>55</v>
      </c>
      <c r="C128" s="1" t="s">
        <v>236</v>
      </c>
      <c r="E128" s="1">
        <v>34</v>
      </c>
      <c r="F128" s="1" t="s">
        <v>1884</v>
      </c>
      <c r="H128" s="1" t="s">
        <v>1885</v>
      </c>
      <c r="I128" s="1" t="s">
        <v>7</v>
      </c>
      <c r="J128" s="1" t="s">
        <v>1886</v>
      </c>
      <c r="K128" s="1" t="s">
        <v>1887</v>
      </c>
      <c r="L128" s="1" t="s">
        <v>1888</v>
      </c>
      <c r="O128" s="1">
        <v>1</v>
      </c>
      <c r="P128" s="1" t="s">
        <v>1889</v>
      </c>
      <c r="Q128" s="1">
        <v>2008</v>
      </c>
      <c r="R128" s="1" t="s">
        <v>1746</v>
      </c>
      <c r="S128" s="1" t="s">
        <v>27</v>
      </c>
      <c r="T128" s="6">
        <v>1</v>
      </c>
      <c r="AH128" s="1">
        <v>2.27</v>
      </c>
      <c r="AK128" s="1">
        <v>0.46400000000000002</v>
      </c>
      <c r="AL128" s="1">
        <v>0.39900000000000002</v>
      </c>
      <c r="AM128" s="1">
        <v>0.94899999999999995</v>
      </c>
    </row>
    <row r="129" spans="1:39" x14ac:dyDescent="0.2">
      <c r="A129" s="1" t="s">
        <v>1890</v>
      </c>
      <c r="B129" s="1" t="s">
        <v>55</v>
      </c>
      <c r="C129" s="1" t="s">
        <v>236</v>
      </c>
      <c r="E129" s="1">
        <v>33</v>
      </c>
      <c r="F129" s="1" t="s">
        <v>1891</v>
      </c>
      <c r="H129" s="1" t="s">
        <v>1892</v>
      </c>
      <c r="I129" s="1" t="s">
        <v>7</v>
      </c>
      <c r="J129" s="1" t="s">
        <v>1893</v>
      </c>
      <c r="K129" s="1" t="s">
        <v>1894</v>
      </c>
      <c r="L129" s="1" t="s">
        <v>1895</v>
      </c>
      <c r="O129" s="1">
        <v>4</v>
      </c>
      <c r="P129" s="1" t="s">
        <v>1896</v>
      </c>
      <c r="Q129" s="1">
        <v>2008</v>
      </c>
      <c r="R129" s="1" t="s">
        <v>1746</v>
      </c>
      <c r="S129" s="1" t="s">
        <v>27</v>
      </c>
      <c r="T129" s="6">
        <v>1</v>
      </c>
      <c r="AH129" s="1">
        <v>4.8899999999999997</v>
      </c>
      <c r="AK129" s="1">
        <v>1.3080000000000001</v>
      </c>
      <c r="AL129" s="1">
        <v>1.2330000000000001</v>
      </c>
      <c r="AM129" s="1">
        <v>1.859</v>
      </c>
    </row>
    <row r="130" spans="1:39" x14ac:dyDescent="0.2">
      <c r="A130" s="1" t="s">
        <v>1897</v>
      </c>
      <c r="B130" s="1" t="s">
        <v>55</v>
      </c>
      <c r="C130" s="1" t="s">
        <v>236</v>
      </c>
      <c r="E130" s="1">
        <v>32</v>
      </c>
      <c r="F130" s="1" t="s">
        <v>1870</v>
      </c>
      <c r="H130" s="1" t="s">
        <v>1898</v>
      </c>
      <c r="I130" s="1" t="s">
        <v>7</v>
      </c>
      <c r="J130" s="1" t="s">
        <v>1899</v>
      </c>
      <c r="K130" s="1" t="s">
        <v>1873</v>
      </c>
      <c r="L130" s="1" t="s">
        <v>1874</v>
      </c>
      <c r="O130" s="1">
        <v>4</v>
      </c>
      <c r="P130" s="1" t="s">
        <v>1900</v>
      </c>
      <c r="Q130" s="1">
        <v>2008</v>
      </c>
      <c r="R130" s="1" t="s">
        <v>1746</v>
      </c>
      <c r="S130" s="1" t="s">
        <v>27</v>
      </c>
      <c r="T130" s="6">
        <v>1</v>
      </c>
      <c r="AH130" s="1">
        <v>0.25</v>
      </c>
      <c r="AK130" s="1">
        <v>5.2999999999999999E-2</v>
      </c>
      <c r="AL130" s="1">
        <v>2.9000000000000001E-2</v>
      </c>
      <c r="AM130" s="1">
        <v>9.8000000000000004E-2</v>
      </c>
    </row>
    <row r="131" spans="1:39" x14ac:dyDescent="0.2">
      <c r="A131" s="1" t="s">
        <v>1901</v>
      </c>
      <c r="B131" s="1" t="s">
        <v>57</v>
      </c>
      <c r="C131" s="1" t="s">
        <v>236</v>
      </c>
      <c r="E131" s="1">
        <v>57</v>
      </c>
      <c r="F131" s="1" t="s">
        <v>1902</v>
      </c>
      <c r="H131" s="1" t="s">
        <v>1903</v>
      </c>
      <c r="I131" s="1" t="s">
        <v>7</v>
      </c>
      <c r="J131" s="1" t="s">
        <v>1904</v>
      </c>
      <c r="K131" s="1" t="s">
        <v>1905</v>
      </c>
      <c r="L131" s="1" t="s">
        <v>1904</v>
      </c>
      <c r="O131" s="1">
        <v>2</v>
      </c>
      <c r="P131" s="1" t="s">
        <v>1745</v>
      </c>
      <c r="Q131" s="1">
        <v>2008</v>
      </c>
      <c r="R131" s="1" t="s">
        <v>1746</v>
      </c>
      <c r="S131" s="1" t="s">
        <v>27</v>
      </c>
      <c r="T131" s="6">
        <v>1</v>
      </c>
      <c r="AH131" s="1">
        <v>0.85</v>
      </c>
      <c r="AK131" s="1">
        <v>0.193</v>
      </c>
      <c r="AL131" s="1">
        <v>3.3000000000000002E-2</v>
      </c>
      <c r="AM131" s="1">
        <v>0.28199999999999997</v>
      </c>
    </row>
    <row r="132" spans="1:39" x14ac:dyDescent="0.2">
      <c r="A132" s="1" t="s">
        <v>1906</v>
      </c>
      <c r="B132" s="1" t="s">
        <v>57</v>
      </c>
      <c r="C132" s="1" t="s">
        <v>236</v>
      </c>
      <c r="E132" s="1">
        <v>55</v>
      </c>
      <c r="F132" s="1" t="s">
        <v>1907</v>
      </c>
      <c r="H132" s="1" t="s">
        <v>1908</v>
      </c>
      <c r="I132" s="1" t="s">
        <v>7</v>
      </c>
      <c r="J132" s="1" t="s">
        <v>1909</v>
      </c>
      <c r="K132" s="1" t="s">
        <v>1910</v>
      </c>
      <c r="L132" s="1" t="s">
        <v>1909</v>
      </c>
      <c r="O132" s="1">
        <v>4</v>
      </c>
      <c r="P132" s="1" t="s">
        <v>1745</v>
      </c>
      <c r="Q132" s="1">
        <v>2008</v>
      </c>
      <c r="R132" s="1" t="s">
        <v>1746</v>
      </c>
      <c r="S132" s="1" t="s">
        <v>27</v>
      </c>
      <c r="T132" s="6">
        <v>1</v>
      </c>
      <c r="AH132" s="1">
        <v>0.8</v>
      </c>
      <c r="AK132" s="1">
        <v>0.20100000000000001</v>
      </c>
      <c r="AL132" s="1">
        <v>4.8000000000000001E-2</v>
      </c>
      <c r="AM132" s="1">
        <v>0.26300000000000001</v>
      </c>
    </row>
    <row r="133" spans="1:39" x14ac:dyDescent="0.2">
      <c r="A133" s="1" t="s">
        <v>1911</v>
      </c>
      <c r="B133" s="1" t="s">
        <v>1912</v>
      </c>
      <c r="C133" s="1" t="s">
        <v>236</v>
      </c>
      <c r="E133" s="1">
        <v>43</v>
      </c>
      <c r="F133" s="1" t="s">
        <v>1913</v>
      </c>
      <c r="H133" s="1" t="s">
        <v>1914</v>
      </c>
      <c r="I133" s="1" t="s">
        <v>7</v>
      </c>
      <c r="J133" s="1" t="s">
        <v>1915</v>
      </c>
      <c r="K133" s="1" t="s">
        <v>1916</v>
      </c>
      <c r="L133" s="1" t="s">
        <v>1915</v>
      </c>
      <c r="O133" s="1">
        <v>1</v>
      </c>
      <c r="P133" s="1" t="s">
        <v>1745</v>
      </c>
      <c r="Q133" s="1">
        <v>2008</v>
      </c>
      <c r="R133" s="1" t="s">
        <v>1746</v>
      </c>
      <c r="S133" s="1" t="s">
        <v>27</v>
      </c>
      <c r="T133" s="6">
        <v>1</v>
      </c>
      <c r="AH133" s="1">
        <v>1.53</v>
      </c>
      <c r="AK133" s="1">
        <v>0.28899999999999998</v>
      </c>
      <c r="AL133" s="1">
        <v>0.38900000000000001</v>
      </c>
      <c r="AM133" s="1">
        <v>0.33400000000000002</v>
      </c>
    </row>
    <row r="134" spans="1:39" x14ac:dyDescent="0.2">
      <c r="A134" s="1" t="s">
        <v>1917</v>
      </c>
      <c r="B134" s="1" t="s">
        <v>57</v>
      </c>
      <c r="C134" s="1" t="s">
        <v>236</v>
      </c>
      <c r="E134" s="1">
        <v>54</v>
      </c>
      <c r="F134" s="1" t="s">
        <v>1918</v>
      </c>
      <c r="H134" s="1" t="s">
        <v>1919</v>
      </c>
      <c r="I134" s="1" t="s">
        <v>11</v>
      </c>
      <c r="J134" s="1" t="s">
        <v>1920</v>
      </c>
      <c r="K134" s="1" t="s">
        <v>1921</v>
      </c>
      <c r="L134" s="1" t="s">
        <v>1920</v>
      </c>
      <c r="O134" s="1">
        <v>4</v>
      </c>
      <c r="P134" s="1" t="s">
        <v>1745</v>
      </c>
      <c r="Q134" s="1">
        <v>2008</v>
      </c>
      <c r="R134" s="1" t="s">
        <v>1746</v>
      </c>
      <c r="S134" s="1" t="s">
        <v>27</v>
      </c>
      <c r="T134" s="6">
        <v>1</v>
      </c>
      <c r="AH134" s="1">
        <v>1.0900000000000001</v>
      </c>
      <c r="AK134" s="1">
        <v>0.24</v>
      </c>
      <c r="AL134" s="1">
        <v>0.10199999999999999</v>
      </c>
      <c r="AM134" s="1">
        <v>0.41</v>
      </c>
    </row>
    <row r="135" spans="1:39" x14ac:dyDescent="0.2">
      <c r="A135" s="1" t="s">
        <v>1922</v>
      </c>
      <c r="B135" s="1" t="s">
        <v>57</v>
      </c>
      <c r="C135" s="1" t="s">
        <v>236</v>
      </c>
      <c r="E135" s="1">
        <v>57</v>
      </c>
      <c r="F135" s="1" t="s">
        <v>1923</v>
      </c>
      <c r="H135" s="1" t="s">
        <v>1924</v>
      </c>
      <c r="I135" s="1" t="s">
        <v>7</v>
      </c>
      <c r="J135" s="1" t="s">
        <v>1925</v>
      </c>
      <c r="K135" s="1" t="s">
        <v>1926</v>
      </c>
      <c r="L135" s="1" t="s">
        <v>1925</v>
      </c>
      <c r="O135" s="1">
        <v>1</v>
      </c>
      <c r="P135" s="1" t="s">
        <v>1745</v>
      </c>
      <c r="Q135" s="1">
        <v>2008</v>
      </c>
      <c r="R135" s="1" t="s">
        <v>1746</v>
      </c>
      <c r="S135" s="1" t="s">
        <v>27</v>
      </c>
      <c r="T135" s="6">
        <v>1</v>
      </c>
      <c r="AH135" s="1">
        <v>0.36</v>
      </c>
      <c r="AK135" s="1">
        <v>8.4000000000000005E-2</v>
      </c>
      <c r="AL135" s="1">
        <v>1.2E-2</v>
      </c>
      <c r="AM135" s="1">
        <v>0.122</v>
      </c>
    </row>
    <row r="136" spans="1:39" x14ac:dyDescent="0.2">
      <c r="A136" s="1" t="s">
        <v>1927</v>
      </c>
      <c r="B136" s="1" t="s">
        <v>1912</v>
      </c>
      <c r="C136" s="1" t="s">
        <v>236</v>
      </c>
      <c r="E136" s="1">
        <v>43</v>
      </c>
      <c r="F136" s="1" t="s">
        <v>1928</v>
      </c>
      <c r="H136" s="1" t="s">
        <v>1929</v>
      </c>
      <c r="I136" s="1" t="s">
        <v>11</v>
      </c>
      <c r="J136" s="1" t="s">
        <v>1930</v>
      </c>
      <c r="K136" s="1" t="s">
        <v>1931</v>
      </c>
      <c r="L136" s="1" t="s">
        <v>1930</v>
      </c>
      <c r="O136" s="1">
        <v>3</v>
      </c>
      <c r="P136" s="1" t="s">
        <v>1745</v>
      </c>
      <c r="Q136" s="1">
        <v>2008</v>
      </c>
      <c r="R136" s="1" t="s">
        <v>1746</v>
      </c>
      <c r="S136" s="1" t="s">
        <v>27</v>
      </c>
      <c r="T136" s="6">
        <v>1</v>
      </c>
      <c r="AH136" s="1">
        <v>0.63</v>
      </c>
      <c r="AK136" s="1">
        <v>0.121</v>
      </c>
      <c r="AL136" s="1">
        <v>0.11600000000000001</v>
      </c>
      <c r="AM136" s="1">
        <v>0.19700000000000001</v>
      </c>
    </row>
    <row r="137" spans="1:39" x14ac:dyDescent="0.2">
      <c r="A137" s="1" t="s">
        <v>1932</v>
      </c>
      <c r="B137" s="1" t="s">
        <v>1912</v>
      </c>
      <c r="C137" s="1" t="s">
        <v>236</v>
      </c>
      <c r="E137" s="1">
        <v>45</v>
      </c>
      <c r="F137" s="1" t="s">
        <v>1933</v>
      </c>
      <c r="H137" s="1" t="s">
        <v>1934</v>
      </c>
      <c r="I137" s="1" t="s">
        <v>7</v>
      </c>
      <c r="J137" s="1" t="s">
        <v>1935</v>
      </c>
      <c r="K137" s="1" t="s">
        <v>1936</v>
      </c>
      <c r="L137" s="1" t="s">
        <v>1937</v>
      </c>
      <c r="O137" s="1">
        <v>4</v>
      </c>
      <c r="P137" s="1" t="s">
        <v>1938</v>
      </c>
      <c r="Q137" s="1">
        <v>2008</v>
      </c>
      <c r="R137" s="1" t="s">
        <v>1746</v>
      </c>
      <c r="S137" s="1" t="s">
        <v>27</v>
      </c>
      <c r="T137" s="6">
        <v>1</v>
      </c>
      <c r="AH137" s="1">
        <v>0.76</v>
      </c>
      <c r="AK137" s="1">
        <v>0.16200000000000001</v>
      </c>
      <c r="AL137" s="1">
        <v>0.14899999999999999</v>
      </c>
      <c r="AM137" s="1">
        <v>0.23499999999999999</v>
      </c>
    </row>
    <row r="138" spans="1:39" x14ac:dyDescent="0.2">
      <c r="A138" s="1" t="s">
        <v>1939</v>
      </c>
      <c r="B138" s="1" t="s">
        <v>57</v>
      </c>
      <c r="C138" s="1" t="s">
        <v>236</v>
      </c>
      <c r="E138" s="1">
        <v>57</v>
      </c>
      <c r="F138" s="1" t="s">
        <v>1940</v>
      </c>
      <c r="H138" s="1" t="s">
        <v>1941</v>
      </c>
      <c r="I138" s="1" t="s">
        <v>7</v>
      </c>
      <c r="J138" s="1" t="s">
        <v>1942</v>
      </c>
      <c r="K138" s="1" t="s">
        <v>1943</v>
      </c>
      <c r="L138" s="1" t="s">
        <v>1942</v>
      </c>
      <c r="O138" s="1">
        <v>4</v>
      </c>
      <c r="P138" s="1" t="s">
        <v>1745</v>
      </c>
      <c r="Q138" s="1">
        <v>2008</v>
      </c>
      <c r="R138" s="1" t="s">
        <v>1746</v>
      </c>
      <c r="S138" s="1" t="s">
        <v>27</v>
      </c>
      <c r="T138" s="6">
        <v>1</v>
      </c>
      <c r="AH138" s="1">
        <v>1.33</v>
      </c>
      <c r="AK138" s="1">
        <v>0.255</v>
      </c>
      <c r="AL138" s="1">
        <v>0.10299999999999999</v>
      </c>
      <c r="AM138" s="1">
        <v>0.44</v>
      </c>
    </row>
    <row r="139" spans="1:39" x14ac:dyDescent="0.2">
      <c r="A139" s="1" t="s">
        <v>1944</v>
      </c>
      <c r="B139" s="1" t="s">
        <v>55</v>
      </c>
      <c r="C139" s="1" t="s">
        <v>236</v>
      </c>
      <c r="E139" s="1">
        <v>35</v>
      </c>
      <c r="F139" s="1" t="s">
        <v>1741</v>
      </c>
      <c r="H139" s="1" t="s">
        <v>1945</v>
      </c>
      <c r="I139" s="1" t="s">
        <v>11</v>
      </c>
      <c r="J139" s="1" t="s">
        <v>1743</v>
      </c>
      <c r="K139" s="1" t="s">
        <v>1744</v>
      </c>
      <c r="L139" s="1" t="s">
        <v>1743</v>
      </c>
      <c r="O139" s="1">
        <v>2</v>
      </c>
      <c r="P139" s="1" t="s">
        <v>1946</v>
      </c>
      <c r="Q139" s="1">
        <v>2008</v>
      </c>
      <c r="R139" s="1" t="s">
        <v>1746</v>
      </c>
      <c r="S139" s="1" t="s">
        <v>27</v>
      </c>
      <c r="T139" s="6">
        <v>1</v>
      </c>
      <c r="AH139" s="1">
        <v>7.36</v>
      </c>
      <c r="AK139" s="1">
        <v>2.2589999999999999</v>
      </c>
      <c r="AL139" s="1">
        <v>1.3009999999999999</v>
      </c>
      <c r="AM139" s="1">
        <v>2.694</v>
      </c>
    </row>
    <row r="140" spans="1:39" x14ac:dyDescent="0.2">
      <c r="A140" s="1" t="s">
        <v>1947</v>
      </c>
      <c r="B140" s="1" t="s">
        <v>1912</v>
      </c>
      <c r="C140" s="1" t="s">
        <v>236</v>
      </c>
      <c r="E140" s="1">
        <v>42</v>
      </c>
      <c r="F140" s="1" t="s">
        <v>1948</v>
      </c>
      <c r="H140" s="1" t="s">
        <v>1949</v>
      </c>
      <c r="I140" s="1" t="s">
        <v>11</v>
      </c>
      <c r="J140" s="1" t="s">
        <v>1950</v>
      </c>
      <c r="K140" s="1" t="s">
        <v>1951</v>
      </c>
      <c r="L140" s="1" t="s">
        <v>1950</v>
      </c>
      <c r="O140" s="1">
        <v>1</v>
      </c>
      <c r="P140" s="1" t="s">
        <v>1745</v>
      </c>
      <c r="Q140" s="1">
        <v>2008</v>
      </c>
      <c r="R140" s="1" t="s">
        <v>1746</v>
      </c>
      <c r="S140" s="1" t="s">
        <v>27</v>
      </c>
      <c r="T140" s="6">
        <v>1</v>
      </c>
      <c r="AH140" s="1">
        <v>0.56999999999999995</v>
      </c>
      <c r="AK140" s="1">
        <v>0.122</v>
      </c>
      <c r="AL140" s="1">
        <v>0.08</v>
      </c>
      <c r="AM140" s="1">
        <v>0.19900000000000001</v>
      </c>
    </row>
    <row r="141" spans="1:39" x14ac:dyDescent="0.2">
      <c r="A141" s="1" t="s">
        <v>1952</v>
      </c>
      <c r="B141" s="1" t="s">
        <v>55</v>
      </c>
      <c r="C141" s="1" t="s">
        <v>236</v>
      </c>
      <c r="E141" s="1">
        <v>37</v>
      </c>
      <c r="F141" s="1" t="s">
        <v>1601</v>
      </c>
      <c r="H141" s="1" t="s">
        <v>1953</v>
      </c>
      <c r="I141" s="1" t="s">
        <v>11</v>
      </c>
      <c r="J141" s="1" t="s">
        <v>1603</v>
      </c>
      <c r="K141" s="1" t="s">
        <v>1604</v>
      </c>
      <c r="L141" s="1" t="s">
        <v>1603</v>
      </c>
      <c r="O141" s="1">
        <v>1</v>
      </c>
      <c r="P141" s="1" t="s">
        <v>1946</v>
      </c>
      <c r="Q141" s="1">
        <v>2008</v>
      </c>
      <c r="R141" s="1" t="s">
        <v>1746</v>
      </c>
      <c r="S141" s="1" t="s">
        <v>27</v>
      </c>
      <c r="T141" s="6">
        <v>1</v>
      </c>
      <c r="AH141" s="1">
        <v>13.2</v>
      </c>
      <c r="AK141" s="1">
        <v>3.73</v>
      </c>
      <c r="AL141" s="1">
        <v>1.794</v>
      </c>
      <c r="AM141" s="1">
        <v>5.976</v>
      </c>
    </row>
    <row r="142" spans="1:39" x14ac:dyDescent="0.2">
      <c r="A142" s="1" t="s">
        <v>1954</v>
      </c>
      <c r="B142" s="1" t="s">
        <v>55</v>
      </c>
      <c r="C142" s="1" t="s">
        <v>236</v>
      </c>
      <c r="E142" s="1">
        <v>35</v>
      </c>
      <c r="F142" s="1" t="s">
        <v>1798</v>
      </c>
      <c r="H142" s="1" t="s">
        <v>1955</v>
      </c>
      <c r="I142" s="1" t="s">
        <v>11</v>
      </c>
      <c r="J142" s="1" t="s">
        <v>1800</v>
      </c>
      <c r="K142" s="1" t="s">
        <v>1801</v>
      </c>
      <c r="L142" s="1" t="s">
        <v>1800</v>
      </c>
      <c r="O142" s="1">
        <v>1</v>
      </c>
      <c r="P142" s="1" t="s">
        <v>1946</v>
      </c>
      <c r="Q142" s="1">
        <v>2008</v>
      </c>
      <c r="R142" s="1" t="s">
        <v>1746</v>
      </c>
      <c r="S142" s="1" t="s">
        <v>27</v>
      </c>
      <c r="T142" s="6">
        <v>1</v>
      </c>
      <c r="AH142" s="1">
        <v>9.8000000000000007</v>
      </c>
      <c r="AK142" s="1">
        <v>2.2189999999999999</v>
      </c>
      <c r="AL142" s="1">
        <v>1.427</v>
      </c>
      <c r="AM142" s="1">
        <v>4.0949999999999998</v>
      </c>
    </row>
    <row r="143" spans="1:39" x14ac:dyDescent="0.2">
      <c r="A143" s="1" t="s">
        <v>1956</v>
      </c>
      <c r="B143" s="1" t="s">
        <v>55</v>
      </c>
      <c r="C143" s="1" t="s">
        <v>236</v>
      </c>
      <c r="E143" s="1">
        <v>35</v>
      </c>
      <c r="F143" s="1" t="s">
        <v>1798</v>
      </c>
      <c r="H143" s="1" t="s">
        <v>1957</v>
      </c>
      <c r="I143" s="1" t="s">
        <v>11</v>
      </c>
      <c r="J143" s="1" t="s">
        <v>1800</v>
      </c>
      <c r="K143" s="1" t="s">
        <v>1801</v>
      </c>
      <c r="L143" s="1" t="s">
        <v>1800</v>
      </c>
      <c r="O143" s="1">
        <v>1</v>
      </c>
      <c r="P143" s="1" t="s">
        <v>1946</v>
      </c>
      <c r="Q143" s="1">
        <v>2008</v>
      </c>
      <c r="R143" s="1" t="s">
        <v>1746</v>
      </c>
      <c r="S143" s="1" t="s">
        <v>27</v>
      </c>
      <c r="T143" s="6">
        <v>1</v>
      </c>
      <c r="AH143" s="1">
        <v>11.9</v>
      </c>
      <c r="AK143" s="1">
        <v>3.3279999999999998</v>
      </c>
      <c r="AL143" s="1">
        <v>3.093</v>
      </c>
      <c r="AM143" s="1">
        <v>4.484</v>
      </c>
    </row>
    <row r="144" spans="1:39" x14ac:dyDescent="0.2">
      <c r="A144" s="1" t="s">
        <v>1958</v>
      </c>
      <c r="B144" s="1" t="s">
        <v>55</v>
      </c>
      <c r="C144" s="1" t="s">
        <v>236</v>
      </c>
      <c r="E144" s="1">
        <v>36</v>
      </c>
      <c r="F144" s="1" t="s">
        <v>1959</v>
      </c>
      <c r="H144" s="1" t="s">
        <v>1960</v>
      </c>
      <c r="I144" s="1" t="s">
        <v>11</v>
      </c>
      <c r="J144" s="1" t="s">
        <v>1961</v>
      </c>
      <c r="K144" s="1" t="s">
        <v>1962</v>
      </c>
      <c r="L144" s="1" t="s">
        <v>1963</v>
      </c>
      <c r="O144" s="1">
        <v>5</v>
      </c>
      <c r="P144" s="1" t="s">
        <v>1964</v>
      </c>
      <c r="Q144" s="1">
        <v>2008</v>
      </c>
      <c r="R144" s="1" t="s">
        <v>1746</v>
      </c>
      <c r="S144" s="1" t="s">
        <v>27</v>
      </c>
      <c r="T144" s="6">
        <v>1</v>
      </c>
      <c r="AH144" s="1">
        <v>6.03</v>
      </c>
      <c r="AK144" s="1">
        <v>1.1970000000000001</v>
      </c>
      <c r="AL144" s="1">
        <v>1.76</v>
      </c>
      <c r="AM144" s="1">
        <v>0.90100000000000002</v>
      </c>
    </row>
    <row r="145" spans="1:153" x14ac:dyDescent="0.2">
      <c r="A145" s="1" t="s">
        <v>1965</v>
      </c>
      <c r="B145" s="1" t="s">
        <v>55</v>
      </c>
      <c r="C145" s="1" t="s">
        <v>236</v>
      </c>
      <c r="E145" s="1">
        <v>32</v>
      </c>
      <c r="F145" s="1" t="s">
        <v>1769</v>
      </c>
      <c r="H145" s="1" t="s">
        <v>1966</v>
      </c>
      <c r="I145" s="1" t="s">
        <v>11</v>
      </c>
      <c r="J145" s="1" t="s">
        <v>1771</v>
      </c>
      <c r="K145" s="1" t="s">
        <v>1772</v>
      </c>
      <c r="L145" s="1" t="s">
        <v>1771</v>
      </c>
      <c r="O145" s="1">
        <v>1</v>
      </c>
      <c r="P145" s="1" t="s">
        <v>1946</v>
      </c>
      <c r="Q145" s="1">
        <v>2008</v>
      </c>
      <c r="R145" s="1" t="s">
        <v>1746</v>
      </c>
      <c r="S145" s="1" t="s">
        <v>27</v>
      </c>
      <c r="T145" s="6">
        <v>1</v>
      </c>
      <c r="AH145" s="1">
        <v>0.24</v>
      </c>
      <c r="AK145" s="1">
        <v>5.8999999999999997E-2</v>
      </c>
      <c r="AL145" s="1">
        <v>2.5000000000000001E-2</v>
      </c>
      <c r="AM145" s="1">
        <v>7.4999999999999997E-2</v>
      </c>
    </row>
    <row r="146" spans="1:153" x14ac:dyDescent="0.2">
      <c r="A146" s="1" t="s">
        <v>1967</v>
      </c>
      <c r="B146" s="1" t="s">
        <v>55</v>
      </c>
      <c r="C146" s="1" t="s">
        <v>236</v>
      </c>
      <c r="E146" s="1">
        <v>35</v>
      </c>
      <c r="F146" s="1" t="s">
        <v>1968</v>
      </c>
      <c r="H146" s="1" t="s">
        <v>1969</v>
      </c>
      <c r="I146" s="1" t="s">
        <v>11</v>
      </c>
      <c r="J146" s="1" t="s">
        <v>1970</v>
      </c>
      <c r="K146" s="1" t="s">
        <v>1971</v>
      </c>
      <c r="L146" s="1" t="s">
        <v>1970</v>
      </c>
      <c r="O146" s="1">
        <v>1</v>
      </c>
      <c r="P146" s="1" t="s">
        <v>1946</v>
      </c>
      <c r="Q146" s="1">
        <v>2008</v>
      </c>
      <c r="R146" s="1" t="s">
        <v>1746</v>
      </c>
      <c r="S146" s="1" t="s">
        <v>27</v>
      </c>
      <c r="T146" s="6">
        <v>1</v>
      </c>
      <c r="AH146" s="1">
        <v>10</v>
      </c>
      <c r="AK146" s="1">
        <v>1.643</v>
      </c>
      <c r="AL146" s="1">
        <v>1.1519999999999999</v>
      </c>
      <c r="AM146" s="1">
        <v>5.9429999999999996</v>
      </c>
    </row>
    <row r="147" spans="1:153" x14ac:dyDescent="0.2">
      <c r="A147" s="1" t="s">
        <v>1972</v>
      </c>
      <c r="B147" s="1" t="s">
        <v>55</v>
      </c>
      <c r="C147" s="1" t="s">
        <v>236</v>
      </c>
      <c r="E147" s="1">
        <v>37</v>
      </c>
      <c r="F147" s="1" t="s">
        <v>1601</v>
      </c>
      <c r="H147" s="1" t="s">
        <v>1973</v>
      </c>
      <c r="I147" s="1" t="s">
        <v>11</v>
      </c>
      <c r="J147" s="1" t="s">
        <v>1603</v>
      </c>
      <c r="K147" s="1" t="s">
        <v>1604</v>
      </c>
      <c r="L147" s="1" t="s">
        <v>1603</v>
      </c>
      <c r="O147" s="1">
        <v>1</v>
      </c>
      <c r="P147" s="1" t="s">
        <v>1946</v>
      </c>
      <c r="Q147" s="1">
        <v>2008</v>
      </c>
      <c r="R147" s="1" t="s">
        <v>1746</v>
      </c>
      <c r="S147" s="1" t="s">
        <v>27</v>
      </c>
      <c r="T147" s="6">
        <v>1</v>
      </c>
      <c r="AH147" s="1">
        <v>17</v>
      </c>
      <c r="AK147" s="1">
        <v>3.2189999999999999</v>
      </c>
      <c r="AL147" s="1">
        <v>1.6579999999999999</v>
      </c>
      <c r="AM147" s="1">
        <v>0.98709999999999998</v>
      </c>
    </row>
    <row r="148" spans="1:153" x14ac:dyDescent="0.2">
      <c r="A148" s="1" t="s">
        <v>1974</v>
      </c>
      <c r="B148" s="1" t="s">
        <v>55</v>
      </c>
      <c r="C148" s="1" t="s">
        <v>236</v>
      </c>
      <c r="E148" s="1">
        <v>23</v>
      </c>
      <c r="F148" s="1" t="s">
        <v>1274</v>
      </c>
      <c r="H148" s="1" t="s">
        <v>1975</v>
      </c>
      <c r="I148" s="1" t="s">
        <v>11</v>
      </c>
      <c r="J148" s="1" t="s">
        <v>1276</v>
      </c>
      <c r="K148" s="1" t="s">
        <v>1277</v>
      </c>
      <c r="L148" s="1" t="s">
        <v>1276</v>
      </c>
      <c r="O148" s="1">
        <v>1</v>
      </c>
      <c r="P148" s="1" t="s">
        <v>1946</v>
      </c>
      <c r="Q148" s="1">
        <v>2008</v>
      </c>
      <c r="R148" s="1" t="s">
        <v>1746</v>
      </c>
      <c r="S148" s="1" t="s">
        <v>27</v>
      </c>
      <c r="T148" s="6">
        <v>1</v>
      </c>
      <c r="AH148" s="1">
        <v>9.7899999999999991</v>
      </c>
      <c r="AK148" s="1">
        <v>3.391</v>
      </c>
      <c r="AL148" s="1">
        <v>0.94</v>
      </c>
      <c r="AM148" s="1">
        <v>0.46779999999999999</v>
      </c>
    </row>
    <row r="149" spans="1:153" x14ac:dyDescent="0.2">
      <c r="A149" s="1" t="s">
        <v>1976</v>
      </c>
      <c r="B149" s="1" t="s">
        <v>55</v>
      </c>
      <c r="C149" s="1" t="s">
        <v>1977</v>
      </c>
      <c r="D149" s="1" t="s">
        <v>2</v>
      </c>
      <c r="E149" s="1">
        <v>33</v>
      </c>
      <c r="F149" s="1" t="s">
        <v>1978</v>
      </c>
      <c r="H149" s="1" t="s">
        <v>1979</v>
      </c>
      <c r="I149" s="1" t="s">
        <v>7</v>
      </c>
      <c r="J149" s="1" t="s">
        <v>1980</v>
      </c>
      <c r="K149" s="1" t="s">
        <v>1981</v>
      </c>
      <c r="L149" s="1" t="s">
        <v>1982</v>
      </c>
      <c r="M149" s="1" t="s">
        <v>1983</v>
      </c>
      <c r="N149" s="1" t="s">
        <v>1984</v>
      </c>
      <c r="P149" s="1" t="s">
        <v>1985</v>
      </c>
      <c r="Q149" s="1">
        <v>2008</v>
      </c>
      <c r="R149" s="1" t="s">
        <v>1986</v>
      </c>
      <c r="S149" s="1" t="s">
        <v>27</v>
      </c>
      <c r="T149" s="6">
        <v>1</v>
      </c>
      <c r="Z149" s="1">
        <v>72.89</v>
      </c>
      <c r="AC149" s="1">
        <v>20.920787000000001</v>
      </c>
      <c r="AI149" s="1">
        <v>4.882511</v>
      </c>
      <c r="AK149" s="1">
        <v>0.75363497592039996</v>
      </c>
      <c r="AL149" s="1">
        <v>1.2954755792168</v>
      </c>
      <c r="AM149" s="1">
        <v>1.1150091242100999</v>
      </c>
      <c r="AV149" s="1">
        <v>0.45544800000000002</v>
      </c>
      <c r="DR149" s="1">
        <v>10459.038</v>
      </c>
      <c r="DU149" s="1">
        <v>1146.7529999999999</v>
      </c>
      <c r="DV149" s="1">
        <v>1195.5509999999999</v>
      </c>
      <c r="DX149" s="1">
        <v>1886.856</v>
      </c>
      <c r="DY149" s="1">
        <v>284.65499999999997</v>
      </c>
      <c r="EA149" s="1">
        <v>3003.788</v>
      </c>
      <c r="EB149" s="1">
        <v>1312.124</v>
      </c>
      <c r="EC149" s="1">
        <v>477.13600000000002</v>
      </c>
      <c r="EF149" s="1">
        <v>1157.597</v>
      </c>
      <c r="EG149" s="1">
        <v>685.88300000000004</v>
      </c>
      <c r="EH149" s="1">
        <v>2694.7339999999999</v>
      </c>
      <c r="EI149" s="1">
        <v>642.50699999999995</v>
      </c>
      <c r="EK149" s="1">
        <v>1496.472</v>
      </c>
      <c r="EL149" s="1">
        <v>970.53800000000001</v>
      </c>
      <c r="EM149" s="1">
        <v>680.46100000000001</v>
      </c>
      <c r="EO149" s="1">
        <v>965.11599999999999</v>
      </c>
      <c r="EQ149" s="1">
        <v>775.346</v>
      </c>
      <c r="ER149" s="1">
        <v>1146.7529999999999</v>
      </c>
    </row>
    <row r="150" spans="1:153" x14ac:dyDescent="0.2">
      <c r="A150" s="1" t="s">
        <v>1987</v>
      </c>
      <c r="B150" s="1" t="s">
        <v>55</v>
      </c>
      <c r="C150" s="1" t="s">
        <v>1977</v>
      </c>
      <c r="D150" s="1" t="s">
        <v>2</v>
      </c>
      <c r="E150" s="1">
        <v>33</v>
      </c>
      <c r="F150" s="1" t="s">
        <v>1978</v>
      </c>
      <c r="H150" s="1" t="s">
        <v>1979</v>
      </c>
      <c r="I150" s="1" t="s">
        <v>7</v>
      </c>
      <c r="J150" s="1" t="s">
        <v>1980</v>
      </c>
      <c r="K150" s="1" t="s">
        <v>1981</v>
      </c>
      <c r="L150" s="1" t="s">
        <v>1982</v>
      </c>
      <c r="M150" s="1" t="s">
        <v>1983</v>
      </c>
      <c r="N150" s="1" t="s">
        <v>1988</v>
      </c>
      <c r="P150" s="1" t="s">
        <v>1985</v>
      </c>
      <c r="Q150" s="1">
        <v>2008</v>
      </c>
      <c r="R150" s="1" t="s">
        <v>1986</v>
      </c>
      <c r="S150" s="1" t="s">
        <v>27</v>
      </c>
      <c r="T150" s="6">
        <v>1</v>
      </c>
      <c r="Z150" s="1">
        <v>74.63</v>
      </c>
      <c r="AC150" s="1">
        <v>19.446104999999999</v>
      </c>
      <c r="AI150" s="1">
        <v>4.3002149999999997</v>
      </c>
      <c r="AK150" s="1">
        <v>0.67786642424400001</v>
      </c>
      <c r="AL150" s="1">
        <v>1.166920739452</v>
      </c>
      <c r="AM150" s="1">
        <v>0.95876312744100001</v>
      </c>
      <c r="AV150" s="1">
        <v>0.54799200000000003</v>
      </c>
      <c r="DR150" s="1">
        <v>9478.232</v>
      </c>
      <c r="DU150" s="1">
        <v>1250.741</v>
      </c>
      <c r="DV150" s="1">
        <v>1065.54</v>
      </c>
      <c r="DX150" s="1">
        <v>1831.7139999999999</v>
      </c>
      <c r="DY150" s="1">
        <v>281.60700000000003</v>
      </c>
      <c r="EA150" s="1">
        <v>2980.9749999999999</v>
      </c>
      <c r="EB150" s="1">
        <v>1179.7049999999999</v>
      </c>
      <c r="EC150" s="1">
        <v>443.97500000000002</v>
      </c>
      <c r="EF150" s="1">
        <v>1131.502</v>
      </c>
      <c r="EG150" s="1">
        <v>575.899</v>
      </c>
      <c r="EH150" s="1">
        <v>2176.7460000000001</v>
      </c>
      <c r="EI150" s="1">
        <v>558.14</v>
      </c>
      <c r="EK150" s="1">
        <v>1458.7750000000001</v>
      </c>
      <c r="EL150" s="1">
        <v>827.06200000000001</v>
      </c>
      <c r="EM150" s="1">
        <v>649.47199999999998</v>
      </c>
      <c r="EO150" s="1">
        <v>1007.189</v>
      </c>
      <c r="EQ150" s="1">
        <v>690.06399999999996</v>
      </c>
      <c r="ER150" s="1">
        <v>1060.4659999999999</v>
      </c>
    </row>
    <row r="151" spans="1:153" x14ac:dyDescent="0.2">
      <c r="A151" s="1" t="s">
        <v>1989</v>
      </c>
      <c r="B151" s="1" t="s">
        <v>55</v>
      </c>
      <c r="C151" s="1" t="s">
        <v>1990</v>
      </c>
      <c r="E151" s="1">
        <v>36</v>
      </c>
      <c r="F151" s="1" t="s">
        <v>1991</v>
      </c>
      <c r="G151" s="1" t="s">
        <v>1992</v>
      </c>
      <c r="H151" s="1" t="s">
        <v>1993</v>
      </c>
      <c r="I151" s="1" t="s">
        <v>7</v>
      </c>
      <c r="J151" s="1" t="s">
        <v>1994</v>
      </c>
      <c r="K151" s="1" t="s">
        <v>1995</v>
      </c>
      <c r="L151" s="1" t="s">
        <v>1996</v>
      </c>
      <c r="P151" s="1" t="s">
        <v>1270</v>
      </c>
      <c r="Q151" s="1">
        <v>2001</v>
      </c>
      <c r="R151" s="1" t="s">
        <v>1997</v>
      </c>
      <c r="S151" s="1" t="s">
        <v>27</v>
      </c>
      <c r="T151" s="6">
        <v>1</v>
      </c>
      <c r="AH151" s="1">
        <v>1.46</v>
      </c>
      <c r="AK151" s="1">
        <v>7.7905602000000004E-2</v>
      </c>
      <c r="AL151" s="1">
        <v>4.9742544E-2</v>
      </c>
      <c r="AN151" s="1">
        <v>0.39928144999999998</v>
      </c>
      <c r="EW151" s="1">
        <v>41.1</v>
      </c>
    </row>
    <row r="152" spans="1:153" x14ac:dyDescent="0.2">
      <c r="A152" s="1" t="s">
        <v>1998</v>
      </c>
      <c r="B152" s="1" t="s">
        <v>55</v>
      </c>
      <c r="C152" s="1" t="s">
        <v>1990</v>
      </c>
      <c r="E152" s="1">
        <v>38</v>
      </c>
      <c r="F152" s="1" t="s">
        <v>1999</v>
      </c>
      <c r="G152" s="1" t="s">
        <v>2000</v>
      </c>
      <c r="H152" s="1" t="s">
        <v>2001</v>
      </c>
      <c r="I152" s="1" t="s">
        <v>7</v>
      </c>
      <c r="J152" s="1" t="s">
        <v>2002</v>
      </c>
      <c r="K152" s="1" t="s">
        <v>2003</v>
      </c>
      <c r="L152" s="1" t="s">
        <v>2002</v>
      </c>
      <c r="P152" s="1" t="s">
        <v>1270</v>
      </c>
      <c r="Q152" s="1">
        <v>2001</v>
      </c>
      <c r="R152" s="1" t="s">
        <v>1997</v>
      </c>
      <c r="S152" s="1" t="s">
        <v>27</v>
      </c>
      <c r="T152" s="6">
        <v>1</v>
      </c>
      <c r="AH152" s="1">
        <v>1.95</v>
      </c>
      <c r="AK152" s="1">
        <v>6.0851505E-2</v>
      </c>
      <c r="AL152" s="1">
        <v>6.5042379999999997E-2</v>
      </c>
      <c r="AN152" s="1">
        <v>0.57901128999999996</v>
      </c>
      <c r="EW152" s="1">
        <v>37.1</v>
      </c>
    </row>
    <row r="153" spans="1:153" x14ac:dyDescent="0.2">
      <c r="A153" s="1" t="s">
        <v>2004</v>
      </c>
      <c r="B153" s="1" t="s">
        <v>55</v>
      </c>
      <c r="C153" s="1" t="s">
        <v>1990</v>
      </c>
      <c r="E153" s="1">
        <v>33</v>
      </c>
      <c r="F153" s="1" t="s">
        <v>2005</v>
      </c>
      <c r="G153" s="1" t="s">
        <v>2006</v>
      </c>
      <c r="H153" s="1" t="s">
        <v>2007</v>
      </c>
      <c r="I153" s="1" t="s">
        <v>7</v>
      </c>
      <c r="J153" s="1" t="s">
        <v>2008</v>
      </c>
      <c r="K153" s="1" t="s">
        <v>2009</v>
      </c>
      <c r="L153" s="1" t="s">
        <v>2008</v>
      </c>
      <c r="P153" s="1" t="s">
        <v>1270</v>
      </c>
      <c r="Q153" s="1">
        <v>2001</v>
      </c>
      <c r="R153" s="1" t="s">
        <v>1997</v>
      </c>
      <c r="S153" s="1" t="s">
        <v>27</v>
      </c>
      <c r="T153" s="6">
        <v>1</v>
      </c>
      <c r="AH153" s="1">
        <v>2.2400000000000002</v>
      </c>
      <c r="AK153" s="1">
        <v>0.158479288</v>
      </c>
      <c r="AL153" s="1">
        <v>3.8549015999999998E-2</v>
      </c>
      <c r="AN153" s="1">
        <v>0.77876800000000002</v>
      </c>
      <c r="EW153" s="1">
        <v>45.9</v>
      </c>
    </row>
    <row r="154" spans="1:153" x14ac:dyDescent="0.2">
      <c r="A154" s="1" t="s">
        <v>2010</v>
      </c>
      <c r="B154" s="1" t="s">
        <v>55</v>
      </c>
      <c r="C154" s="1" t="s">
        <v>1990</v>
      </c>
      <c r="E154" s="1">
        <v>33</v>
      </c>
      <c r="F154" s="1" t="s">
        <v>2011</v>
      </c>
      <c r="G154" s="1" t="s">
        <v>2012</v>
      </c>
      <c r="H154" s="1" t="s">
        <v>2013</v>
      </c>
      <c r="I154" s="1" t="s">
        <v>7</v>
      </c>
      <c r="J154" s="1" t="s">
        <v>2014</v>
      </c>
      <c r="K154" s="1" t="s">
        <v>2015</v>
      </c>
      <c r="L154" s="1" t="s">
        <v>2014</v>
      </c>
      <c r="P154" s="1" t="s">
        <v>1270</v>
      </c>
      <c r="Q154" s="1">
        <v>2001</v>
      </c>
      <c r="R154" s="1" t="s">
        <v>1997</v>
      </c>
      <c r="S154" s="1" t="s">
        <v>27</v>
      </c>
      <c r="T154" s="6">
        <v>1</v>
      </c>
      <c r="AH154" s="1">
        <v>2.79</v>
      </c>
      <c r="AK154" s="1">
        <v>0.24945109800000001</v>
      </c>
      <c r="AL154" s="1">
        <v>3.3702958999999998E-2</v>
      </c>
      <c r="AN154" s="1">
        <v>0.83666980700000004</v>
      </c>
      <c r="EW154" s="1">
        <v>46.9</v>
      </c>
    </row>
    <row r="155" spans="1:153" x14ac:dyDescent="0.2">
      <c r="A155" s="1" t="s">
        <v>2016</v>
      </c>
      <c r="B155" s="1" t="s">
        <v>55</v>
      </c>
      <c r="C155" s="1" t="s">
        <v>1990</v>
      </c>
      <c r="E155" s="1">
        <v>37</v>
      </c>
      <c r="F155" s="1" t="s">
        <v>2017</v>
      </c>
      <c r="G155" s="1" t="s">
        <v>2018</v>
      </c>
      <c r="H155" s="1" t="s">
        <v>2019</v>
      </c>
      <c r="I155" s="1" t="s">
        <v>7</v>
      </c>
      <c r="J155" s="1" t="s">
        <v>2020</v>
      </c>
      <c r="K155" s="1" t="s">
        <v>2021</v>
      </c>
      <c r="L155" s="1" t="s">
        <v>2020</v>
      </c>
      <c r="P155" s="1" t="s">
        <v>1270</v>
      </c>
      <c r="Q155" s="1">
        <v>2001</v>
      </c>
      <c r="R155" s="1" t="s">
        <v>1997</v>
      </c>
      <c r="S155" s="1" t="s">
        <v>27</v>
      </c>
      <c r="T155" s="6">
        <v>1</v>
      </c>
      <c r="AH155" s="1">
        <v>2.79</v>
      </c>
      <c r="AK155" s="1">
        <v>0.28020197299999999</v>
      </c>
      <c r="AL155" s="1">
        <v>8.9546548000000004E-2</v>
      </c>
      <c r="AN155" s="1">
        <v>0.75204339899999995</v>
      </c>
      <c r="EW155" s="1">
        <v>46.8</v>
      </c>
    </row>
    <row r="156" spans="1:153" x14ac:dyDescent="0.2">
      <c r="A156" s="1" t="s">
        <v>2022</v>
      </c>
      <c r="B156" s="1" t="s">
        <v>55</v>
      </c>
      <c r="C156" s="1" t="s">
        <v>1990</v>
      </c>
      <c r="E156" s="1">
        <v>37</v>
      </c>
      <c r="F156" s="1" t="s">
        <v>2023</v>
      </c>
      <c r="G156" s="1" t="s">
        <v>2024</v>
      </c>
      <c r="H156" s="1" t="s">
        <v>2025</v>
      </c>
      <c r="I156" s="1" t="s">
        <v>7</v>
      </c>
      <c r="J156" s="1" t="s">
        <v>2026</v>
      </c>
      <c r="K156" s="1" t="s">
        <v>2027</v>
      </c>
      <c r="L156" s="1" t="s">
        <v>2026</v>
      </c>
      <c r="P156" s="1" t="s">
        <v>1270</v>
      </c>
      <c r="Q156" s="1">
        <v>2001</v>
      </c>
      <c r="R156" s="1" t="s">
        <v>1997</v>
      </c>
      <c r="S156" s="1" t="s">
        <v>27</v>
      </c>
      <c r="T156" s="6">
        <v>1</v>
      </c>
      <c r="AH156" s="1">
        <v>2.91</v>
      </c>
      <c r="AK156" s="1">
        <v>0.23585515100000001</v>
      </c>
      <c r="AL156" s="1">
        <v>9.3621891999999998E-2</v>
      </c>
      <c r="AN156" s="1">
        <v>0.93441849899999996</v>
      </c>
      <c r="EW156" s="1">
        <v>40.299999999999997</v>
      </c>
    </row>
    <row r="157" spans="1:153" x14ac:dyDescent="0.2">
      <c r="A157" s="1" t="s">
        <v>2028</v>
      </c>
      <c r="B157" s="1" t="s">
        <v>55</v>
      </c>
      <c r="C157" s="1" t="s">
        <v>1990</v>
      </c>
      <c r="E157" s="1">
        <v>35</v>
      </c>
      <c r="F157" s="1" t="s">
        <v>2029</v>
      </c>
      <c r="G157" s="1" t="s">
        <v>2030</v>
      </c>
      <c r="H157" s="1" t="s">
        <v>2031</v>
      </c>
      <c r="I157" s="1" t="s">
        <v>7</v>
      </c>
      <c r="J157" s="1" t="s">
        <v>2032</v>
      </c>
      <c r="K157" s="1" t="s">
        <v>2033</v>
      </c>
      <c r="L157" s="1" t="s">
        <v>2034</v>
      </c>
      <c r="P157" s="1" t="s">
        <v>1270</v>
      </c>
      <c r="Q157" s="1">
        <v>2001</v>
      </c>
      <c r="R157" s="1" t="s">
        <v>1997</v>
      </c>
      <c r="S157" s="1" t="s">
        <v>27</v>
      </c>
      <c r="T157" s="6">
        <v>1</v>
      </c>
      <c r="AH157" s="1">
        <v>3.06</v>
      </c>
      <c r="AK157" s="1">
        <v>0.26794362399999999</v>
      </c>
      <c r="AL157" s="1">
        <v>0.247332576</v>
      </c>
      <c r="AN157" s="1">
        <v>0.94973539600000001</v>
      </c>
      <c r="EW157" s="1">
        <v>41.8</v>
      </c>
    </row>
    <row r="158" spans="1:153" x14ac:dyDescent="0.2">
      <c r="A158" s="1" t="s">
        <v>2035</v>
      </c>
      <c r="B158" s="1" t="s">
        <v>55</v>
      </c>
      <c r="C158" s="1" t="s">
        <v>1990</v>
      </c>
      <c r="E158" s="1">
        <v>37</v>
      </c>
      <c r="F158" s="1" t="s">
        <v>2036</v>
      </c>
      <c r="G158" s="1" t="s">
        <v>2037</v>
      </c>
      <c r="H158" s="1" t="s">
        <v>2038</v>
      </c>
      <c r="I158" s="1" t="s">
        <v>7</v>
      </c>
      <c r="J158" s="1" t="s">
        <v>2039</v>
      </c>
      <c r="K158" s="1" t="s">
        <v>2040</v>
      </c>
      <c r="L158" s="1" t="s">
        <v>2041</v>
      </c>
      <c r="P158" s="1" t="s">
        <v>1270</v>
      </c>
      <c r="Q158" s="1">
        <v>2001</v>
      </c>
      <c r="R158" s="1" t="s">
        <v>1997</v>
      </c>
      <c r="S158" s="1" t="s">
        <v>27</v>
      </c>
      <c r="T158" s="6">
        <v>1</v>
      </c>
      <c r="AH158" s="1">
        <v>3.08</v>
      </c>
      <c r="AK158" s="1">
        <v>0.25804547999999999</v>
      </c>
      <c r="AL158" s="1">
        <v>9.8303039999999994E-2</v>
      </c>
      <c r="AN158" s="1">
        <v>0.75693340799999997</v>
      </c>
      <c r="EW158" s="1">
        <v>46.6</v>
      </c>
    </row>
    <row r="159" spans="1:153" x14ac:dyDescent="0.2">
      <c r="A159" s="1" t="s">
        <v>2042</v>
      </c>
      <c r="B159" s="1" t="s">
        <v>55</v>
      </c>
      <c r="C159" s="1" t="s">
        <v>1990</v>
      </c>
      <c r="E159" s="1">
        <v>37</v>
      </c>
      <c r="F159" s="1" t="s">
        <v>2043</v>
      </c>
      <c r="G159" s="1" t="s">
        <v>2044</v>
      </c>
      <c r="H159" s="1" t="s">
        <v>2045</v>
      </c>
      <c r="I159" s="1" t="s">
        <v>7</v>
      </c>
      <c r="J159" s="1" t="s">
        <v>2046</v>
      </c>
      <c r="K159" s="1" t="s">
        <v>2047</v>
      </c>
      <c r="L159" s="1" t="s">
        <v>2046</v>
      </c>
      <c r="P159" s="1" t="s">
        <v>1270</v>
      </c>
      <c r="Q159" s="1">
        <v>2001</v>
      </c>
      <c r="R159" s="1" t="s">
        <v>1997</v>
      </c>
      <c r="S159" s="1" t="s">
        <v>27</v>
      </c>
      <c r="T159" s="6">
        <v>1</v>
      </c>
      <c r="AH159" s="1">
        <v>4.54</v>
      </c>
      <c r="AK159" s="1">
        <v>0.315556422</v>
      </c>
      <c r="AL159" s="1">
        <v>0.13301664999999999</v>
      </c>
      <c r="AN159" s="1">
        <v>1.3661833160000001</v>
      </c>
      <c r="EW159" s="1">
        <v>49.1</v>
      </c>
    </row>
    <row r="160" spans="1:153" x14ac:dyDescent="0.2">
      <c r="A160" s="1" t="s">
        <v>2048</v>
      </c>
      <c r="B160" s="1" t="s">
        <v>55</v>
      </c>
      <c r="C160" s="1" t="s">
        <v>1990</v>
      </c>
      <c r="E160" s="1">
        <v>37</v>
      </c>
      <c r="F160" s="1" t="s">
        <v>2049</v>
      </c>
      <c r="G160" s="1" t="s">
        <v>2050</v>
      </c>
      <c r="H160" s="1" t="s">
        <v>2051</v>
      </c>
      <c r="I160" s="1" t="s">
        <v>7</v>
      </c>
      <c r="J160" s="1" t="s">
        <v>2052</v>
      </c>
      <c r="K160" s="1" t="s">
        <v>2053</v>
      </c>
      <c r="L160" s="1" t="s">
        <v>2054</v>
      </c>
      <c r="P160" s="1" t="s">
        <v>1270</v>
      </c>
      <c r="Q160" s="1">
        <v>2001</v>
      </c>
      <c r="R160" s="1" t="s">
        <v>1997</v>
      </c>
      <c r="S160" s="1" t="s">
        <v>27</v>
      </c>
      <c r="T160" s="6">
        <v>1</v>
      </c>
      <c r="AH160" s="1">
        <v>5.77</v>
      </c>
      <c r="AK160" s="1">
        <v>0.41346834900000001</v>
      </c>
      <c r="AL160" s="1">
        <v>0.29870337000000002</v>
      </c>
      <c r="AN160" s="1">
        <v>1.691080307</v>
      </c>
      <c r="EW160" s="1">
        <v>47.3</v>
      </c>
    </row>
    <row r="161" spans="1:161" x14ac:dyDescent="0.2">
      <c r="A161" s="1" t="s">
        <v>2055</v>
      </c>
      <c r="B161" s="1" t="s">
        <v>55</v>
      </c>
      <c r="C161" s="1" t="s">
        <v>2056</v>
      </c>
      <c r="D161" s="1" t="s">
        <v>2</v>
      </c>
      <c r="E161" s="1">
        <v>23</v>
      </c>
      <c r="F161" s="1" t="s">
        <v>1472</v>
      </c>
      <c r="H161" s="1" t="s">
        <v>2057</v>
      </c>
      <c r="I161" s="1" t="s">
        <v>7</v>
      </c>
      <c r="J161" s="1" t="s">
        <v>1474</v>
      </c>
      <c r="K161" s="1" t="s">
        <v>1475</v>
      </c>
      <c r="L161" s="1" t="s">
        <v>1474</v>
      </c>
      <c r="M161" s="1" t="s">
        <v>2058</v>
      </c>
      <c r="N161" s="1" t="s">
        <v>2059</v>
      </c>
      <c r="O161" s="1">
        <v>2</v>
      </c>
      <c r="P161" s="1" t="s">
        <v>2060</v>
      </c>
      <c r="Q161" s="1">
        <v>1999</v>
      </c>
      <c r="R161" s="1" t="s">
        <v>2061</v>
      </c>
      <c r="S161" s="1" t="s">
        <v>27</v>
      </c>
      <c r="T161" s="6">
        <v>1</v>
      </c>
      <c r="AK161" s="1">
        <v>2.0367999999999999</v>
      </c>
    </row>
    <row r="162" spans="1:161" x14ac:dyDescent="0.2">
      <c r="A162" s="1" t="s">
        <v>2062</v>
      </c>
      <c r="B162" s="1" t="s">
        <v>55</v>
      </c>
      <c r="C162" s="1" t="s">
        <v>2063</v>
      </c>
      <c r="D162" s="1" t="s">
        <v>2</v>
      </c>
      <c r="E162" s="1">
        <v>36</v>
      </c>
      <c r="F162" s="1" t="s">
        <v>2064</v>
      </c>
      <c r="H162" s="1" t="s">
        <v>2065</v>
      </c>
      <c r="I162" s="1" t="s">
        <v>7</v>
      </c>
      <c r="J162" s="1" t="s">
        <v>2066</v>
      </c>
      <c r="K162" s="1" t="s">
        <v>2067</v>
      </c>
      <c r="L162" s="1" t="s">
        <v>2066</v>
      </c>
      <c r="M162" s="1" t="s">
        <v>749</v>
      </c>
      <c r="N162" s="1" t="s">
        <v>2068</v>
      </c>
      <c r="O162" s="1">
        <v>3</v>
      </c>
      <c r="P162" s="1" t="s">
        <v>1270</v>
      </c>
      <c r="Q162" s="1">
        <v>2007</v>
      </c>
      <c r="R162" s="1" t="s">
        <v>2069</v>
      </c>
      <c r="S162" s="1" t="s">
        <v>27</v>
      </c>
      <c r="T162" s="6">
        <v>1</v>
      </c>
      <c r="Z162" s="1">
        <v>55.3</v>
      </c>
      <c r="AA162" s="1">
        <v>6.25</v>
      </c>
      <c r="AC162" s="1">
        <v>21.8</v>
      </c>
      <c r="AI162" s="1">
        <v>23</v>
      </c>
      <c r="AK162" s="1">
        <v>6.5866439999999997</v>
      </c>
      <c r="AL162" s="1">
        <v>6.4161159999999997</v>
      </c>
      <c r="AM162" s="1">
        <v>7.2474400000000001</v>
      </c>
      <c r="AV162" s="1">
        <v>0.9</v>
      </c>
    </row>
    <row r="163" spans="1:161" x14ac:dyDescent="0.2">
      <c r="A163" s="1" t="s">
        <v>2070</v>
      </c>
      <c r="B163" s="1" t="s">
        <v>55</v>
      </c>
      <c r="C163" s="1" t="s">
        <v>2056</v>
      </c>
      <c r="D163" s="1" t="s">
        <v>2</v>
      </c>
      <c r="E163" s="1">
        <v>33</v>
      </c>
      <c r="F163" s="1" t="s">
        <v>1305</v>
      </c>
      <c r="H163" s="1" t="s">
        <v>1306</v>
      </c>
      <c r="I163" s="1" t="s">
        <v>7</v>
      </c>
      <c r="J163" s="1" t="s">
        <v>1307</v>
      </c>
      <c r="K163" s="1" t="s">
        <v>1308</v>
      </c>
      <c r="L163" s="1" t="s">
        <v>1307</v>
      </c>
      <c r="M163" s="1" t="s">
        <v>2071</v>
      </c>
      <c r="N163" s="1" t="s">
        <v>2072</v>
      </c>
      <c r="O163" s="1">
        <v>1</v>
      </c>
      <c r="P163" s="1" t="s">
        <v>1270</v>
      </c>
      <c r="Q163" s="1">
        <v>2010</v>
      </c>
      <c r="R163" s="1" t="s">
        <v>2073</v>
      </c>
      <c r="S163" s="1" t="s">
        <v>27</v>
      </c>
      <c r="T163" s="6">
        <v>1</v>
      </c>
      <c r="Z163" s="1">
        <v>72.44</v>
      </c>
      <c r="AC163" s="1">
        <v>20.9</v>
      </c>
      <c r="AH163" s="1">
        <v>4.05</v>
      </c>
      <c r="AK163" s="1">
        <v>1.235757435</v>
      </c>
      <c r="AL163" s="1">
        <v>1.2383023900000001</v>
      </c>
      <c r="AM163" s="1">
        <v>1.10669186</v>
      </c>
      <c r="AN163" s="1">
        <v>2.0359639999999999E-3</v>
      </c>
    </row>
    <row r="164" spans="1:161" x14ac:dyDescent="0.2">
      <c r="A164" s="1" t="s">
        <v>2074</v>
      </c>
      <c r="B164" s="1" t="s">
        <v>55</v>
      </c>
      <c r="C164" s="1" t="s">
        <v>2056</v>
      </c>
      <c r="D164" s="1" t="s">
        <v>2</v>
      </c>
      <c r="E164" s="1">
        <v>33</v>
      </c>
      <c r="F164" s="1" t="s">
        <v>2075</v>
      </c>
      <c r="H164" s="1" t="s">
        <v>2076</v>
      </c>
      <c r="I164" s="1" t="s">
        <v>7</v>
      </c>
      <c r="J164" s="1" t="s">
        <v>2077</v>
      </c>
      <c r="K164" s="1" t="s">
        <v>2078</v>
      </c>
      <c r="L164" s="1" t="s">
        <v>2077</v>
      </c>
      <c r="M164" s="1" t="s">
        <v>2071</v>
      </c>
      <c r="N164" s="1" t="s">
        <v>2079</v>
      </c>
      <c r="O164" s="1">
        <v>1</v>
      </c>
      <c r="P164" s="1" t="s">
        <v>1270</v>
      </c>
      <c r="Q164" s="1">
        <v>2010</v>
      </c>
      <c r="R164" s="1" t="s">
        <v>2073</v>
      </c>
      <c r="S164" s="1" t="s">
        <v>27</v>
      </c>
      <c r="T164" s="6">
        <v>1</v>
      </c>
      <c r="Z164" s="1">
        <v>75.02</v>
      </c>
      <c r="AC164" s="1">
        <v>20.399999999999999</v>
      </c>
      <c r="AH164" s="1">
        <v>3.12</v>
      </c>
      <c r="AK164" s="1">
        <v>1.1052464280000001</v>
      </c>
      <c r="AL164" s="1">
        <v>1.1171486559999999</v>
      </c>
      <c r="AM164" s="1">
        <v>0.54528812000000004</v>
      </c>
      <c r="AN164" s="1">
        <v>0</v>
      </c>
    </row>
    <row r="165" spans="1:161" x14ac:dyDescent="0.2">
      <c r="A165" s="1" t="s">
        <v>2080</v>
      </c>
      <c r="B165" s="1" t="s">
        <v>55</v>
      </c>
      <c r="C165" s="1" t="s">
        <v>2056</v>
      </c>
      <c r="D165" s="1" t="s">
        <v>2</v>
      </c>
      <c r="E165" s="1">
        <v>33</v>
      </c>
      <c r="F165" s="1" t="s">
        <v>2081</v>
      </c>
      <c r="H165" s="1" t="s">
        <v>2082</v>
      </c>
      <c r="I165" s="1" t="s">
        <v>7</v>
      </c>
      <c r="J165" s="1" t="s">
        <v>2083</v>
      </c>
      <c r="K165" s="1" t="s">
        <v>2084</v>
      </c>
      <c r="L165" s="1" t="s">
        <v>2083</v>
      </c>
      <c r="M165" s="1" t="s">
        <v>2071</v>
      </c>
      <c r="N165" s="1" t="s">
        <v>2085</v>
      </c>
      <c r="O165" s="1">
        <v>1</v>
      </c>
      <c r="P165" s="1" t="s">
        <v>1270</v>
      </c>
      <c r="Q165" s="1">
        <v>2010</v>
      </c>
      <c r="R165" s="1" t="s">
        <v>2073</v>
      </c>
      <c r="S165" s="1" t="s">
        <v>27</v>
      </c>
      <c r="T165" s="6">
        <v>1</v>
      </c>
      <c r="Z165" s="1">
        <v>74.48</v>
      </c>
      <c r="AC165" s="1">
        <v>19.850000000000001</v>
      </c>
      <c r="AH165" s="1">
        <v>3.84</v>
      </c>
      <c r="AK165" s="1">
        <v>1.197710504</v>
      </c>
      <c r="AL165" s="1">
        <v>1.5045335280000001</v>
      </c>
      <c r="AM165" s="1">
        <v>0.73747596800000004</v>
      </c>
      <c r="AN165" s="1">
        <v>0</v>
      </c>
    </row>
    <row r="166" spans="1:161" x14ac:dyDescent="0.2">
      <c r="A166" s="1" t="s">
        <v>2086</v>
      </c>
      <c r="B166" s="1" t="s">
        <v>55</v>
      </c>
      <c r="C166" s="1" t="s">
        <v>2087</v>
      </c>
      <c r="D166" s="1" t="s">
        <v>2</v>
      </c>
      <c r="E166" s="1">
        <v>13</v>
      </c>
      <c r="F166" s="1" t="s">
        <v>2088</v>
      </c>
      <c r="H166" s="1" t="s">
        <v>2089</v>
      </c>
      <c r="I166" s="1" t="s">
        <v>7</v>
      </c>
      <c r="J166" s="1" t="s">
        <v>2090</v>
      </c>
      <c r="K166" s="1" t="s">
        <v>2091</v>
      </c>
      <c r="L166" s="1" t="s">
        <v>2092</v>
      </c>
      <c r="N166" s="1" t="s">
        <v>2093</v>
      </c>
      <c r="O166" s="1">
        <v>1</v>
      </c>
      <c r="P166" s="1" t="s">
        <v>1270</v>
      </c>
      <c r="Q166" s="1">
        <v>2010</v>
      </c>
      <c r="R166" s="1" t="s">
        <v>2094</v>
      </c>
      <c r="S166" s="1" t="s">
        <v>27</v>
      </c>
      <c r="T166" s="6">
        <v>1</v>
      </c>
      <c r="Z166" s="1">
        <v>78.88</v>
      </c>
      <c r="AA166" s="1">
        <v>6.25</v>
      </c>
      <c r="AC166" s="1">
        <v>19</v>
      </c>
      <c r="AI166" s="1">
        <v>0.54</v>
      </c>
      <c r="AK166" s="1">
        <v>0.16433852400000001</v>
      </c>
      <c r="AL166" s="1">
        <v>0.10270249200000001</v>
      </c>
      <c r="AM166" s="1">
        <v>9.6378984000000001E-2</v>
      </c>
      <c r="AV166" s="1">
        <v>1.47</v>
      </c>
      <c r="EE166" s="1">
        <v>73</v>
      </c>
      <c r="FB166" s="1">
        <v>0.40532400000000002</v>
      </c>
      <c r="FD166" s="1">
        <v>1.2366E-2</v>
      </c>
      <c r="FE166" s="1">
        <v>0.12231</v>
      </c>
    </row>
    <row r="167" spans="1:161" x14ac:dyDescent="0.2">
      <c r="A167" s="1" t="s">
        <v>2095</v>
      </c>
      <c r="B167" s="1" t="s">
        <v>55</v>
      </c>
      <c r="C167" s="1" t="s">
        <v>2087</v>
      </c>
      <c r="D167" s="1" t="s">
        <v>2</v>
      </c>
      <c r="E167" s="1">
        <v>13</v>
      </c>
      <c r="F167" s="1" t="s">
        <v>2088</v>
      </c>
      <c r="H167" s="1" t="s">
        <v>2096</v>
      </c>
      <c r="I167" s="1" t="s">
        <v>7</v>
      </c>
      <c r="J167" s="1" t="s">
        <v>2090</v>
      </c>
      <c r="K167" s="1" t="s">
        <v>2091</v>
      </c>
      <c r="L167" s="1" t="s">
        <v>2092</v>
      </c>
      <c r="N167" s="1" t="s">
        <v>2093</v>
      </c>
      <c r="O167" s="1">
        <v>1</v>
      </c>
      <c r="P167" s="1" t="s">
        <v>1270</v>
      </c>
      <c r="Q167" s="1">
        <v>2010</v>
      </c>
      <c r="R167" s="1" t="s">
        <v>2094</v>
      </c>
      <c r="S167" s="1" t="s">
        <v>27</v>
      </c>
      <c r="T167" s="6">
        <v>1</v>
      </c>
      <c r="Z167" s="1">
        <v>81.67</v>
      </c>
      <c r="AA167" s="1">
        <v>6.25</v>
      </c>
      <c r="AC167" s="1">
        <v>14.36</v>
      </c>
      <c r="AI167" s="1">
        <v>4.21</v>
      </c>
      <c r="AK167" s="1">
        <v>1.7138163040000001</v>
      </c>
      <c r="AL167" s="1">
        <v>1.4004240999999999</v>
      </c>
      <c r="AM167" s="1">
        <v>0.670689596</v>
      </c>
      <c r="AV167" s="1">
        <v>1.1299999999999999</v>
      </c>
      <c r="EE167" s="1">
        <v>83</v>
      </c>
      <c r="FB167" s="1">
        <v>0.755274</v>
      </c>
      <c r="FD167" s="1">
        <v>3.7469000000000002E-2</v>
      </c>
      <c r="FE167" s="1">
        <v>3.416836</v>
      </c>
    </row>
    <row r="168" spans="1:161" x14ac:dyDescent="0.2">
      <c r="A168" s="1" t="s">
        <v>2097</v>
      </c>
      <c r="B168" s="1" t="s">
        <v>55</v>
      </c>
      <c r="C168" s="1" t="s">
        <v>2098</v>
      </c>
      <c r="D168" s="1" t="s">
        <v>2</v>
      </c>
      <c r="E168" s="1">
        <v>33</v>
      </c>
      <c r="F168" s="1" t="s">
        <v>2081</v>
      </c>
      <c r="H168" s="1" t="s">
        <v>2099</v>
      </c>
      <c r="I168" s="1" t="s">
        <v>7</v>
      </c>
      <c r="J168" s="1" t="s">
        <v>2083</v>
      </c>
      <c r="K168" s="1" t="s">
        <v>2084</v>
      </c>
      <c r="L168" s="1" t="s">
        <v>2083</v>
      </c>
      <c r="M168" s="1" t="s">
        <v>2100</v>
      </c>
      <c r="N168" s="1" t="s">
        <v>2101</v>
      </c>
      <c r="O168" s="1">
        <v>5</v>
      </c>
      <c r="P168" s="1" t="s">
        <v>1270</v>
      </c>
      <c r="Q168" s="1">
        <v>2001</v>
      </c>
      <c r="R168" s="1" t="s">
        <v>2102</v>
      </c>
      <c r="S168" s="1" t="s">
        <v>27</v>
      </c>
      <c r="T168" s="6">
        <v>1</v>
      </c>
      <c r="AH168" s="1">
        <v>7.59</v>
      </c>
      <c r="AK168" s="1">
        <v>1.9191808020000001</v>
      </c>
      <c r="AL168" s="1">
        <v>2.5637646649999999</v>
      </c>
      <c r="AM168" s="1">
        <v>2.4555245330000002</v>
      </c>
    </row>
    <row r="169" spans="1:161" x14ac:dyDescent="0.2">
      <c r="A169" s="1" t="s">
        <v>2103</v>
      </c>
      <c r="B169" s="1" t="s">
        <v>55</v>
      </c>
      <c r="C169" s="1" t="s">
        <v>2104</v>
      </c>
      <c r="E169" s="1">
        <v>36</v>
      </c>
      <c r="F169" s="1" t="s">
        <v>2105</v>
      </c>
      <c r="G169" s="1" t="s">
        <v>2106</v>
      </c>
      <c r="H169" s="1" t="s">
        <v>2107</v>
      </c>
      <c r="I169" s="1" t="s">
        <v>7</v>
      </c>
      <c r="J169" s="1" t="s">
        <v>2108</v>
      </c>
      <c r="K169" s="1" t="s">
        <v>2109</v>
      </c>
      <c r="O169" s="1">
        <v>1</v>
      </c>
      <c r="P169" s="1" t="s">
        <v>1270</v>
      </c>
      <c r="Q169" s="1">
        <v>2009</v>
      </c>
      <c r="R169" s="1" t="s">
        <v>2110</v>
      </c>
      <c r="S169" s="1" t="s">
        <v>27</v>
      </c>
      <c r="T169" s="6">
        <v>1</v>
      </c>
      <c r="Z169" s="1">
        <v>73.77</v>
      </c>
      <c r="AA169" s="1">
        <v>6.25</v>
      </c>
      <c r="AC169" s="1">
        <v>20.2</v>
      </c>
      <c r="AI169" s="1">
        <v>4.0999999999999996</v>
      </c>
      <c r="AK169" s="1">
        <v>1.5392014000000001</v>
      </c>
      <c r="AL169" s="1">
        <v>1.3230503899999999</v>
      </c>
      <c r="AM169" s="1">
        <v>0.82004821000000006</v>
      </c>
      <c r="AV169" s="1">
        <v>1.21</v>
      </c>
    </row>
    <row r="170" spans="1:161" x14ac:dyDescent="0.2">
      <c r="A170" s="1" t="s">
        <v>2111</v>
      </c>
      <c r="B170" s="1" t="s">
        <v>55</v>
      </c>
      <c r="C170" s="1" t="s">
        <v>2104</v>
      </c>
      <c r="E170" s="1">
        <v>33</v>
      </c>
      <c r="F170" s="1" t="s">
        <v>2112</v>
      </c>
      <c r="G170" s="1" t="s">
        <v>2113</v>
      </c>
      <c r="H170" s="1" t="s">
        <v>2114</v>
      </c>
      <c r="I170" s="1" t="s">
        <v>7</v>
      </c>
      <c r="J170" s="1" t="s">
        <v>2115</v>
      </c>
      <c r="K170" s="1" t="s">
        <v>2116</v>
      </c>
      <c r="L170" s="1" t="s">
        <v>2115</v>
      </c>
      <c r="O170" s="1">
        <v>1</v>
      </c>
      <c r="P170" s="1" t="s">
        <v>1270</v>
      </c>
      <c r="Q170" s="1">
        <v>2009</v>
      </c>
      <c r="R170" s="1" t="s">
        <v>2110</v>
      </c>
      <c r="S170" s="1" t="s">
        <v>27</v>
      </c>
      <c r="T170" s="6">
        <v>1</v>
      </c>
      <c r="Z170" s="1">
        <v>78.23</v>
      </c>
      <c r="AA170" s="1">
        <v>6.25</v>
      </c>
      <c r="AC170" s="1">
        <v>19.14</v>
      </c>
      <c r="AI170" s="1">
        <v>0.75</v>
      </c>
      <c r="AK170" s="1">
        <v>0.25465745000000001</v>
      </c>
      <c r="AL170" s="1">
        <v>0.19096525</v>
      </c>
      <c r="AM170" s="1">
        <v>0.1111273</v>
      </c>
      <c r="AV170" s="1">
        <v>1.1000000000000001</v>
      </c>
    </row>
    <row r="171" spans="1:161" x14ac:dyDescent="0.2">
      <c r="A171" s="1" t="s">
        <v>2117</v>
      </c>
      <c r="B171" s="1" t="s">
        <v>55</v>
      </c>
      <c r="C171" s="1" t="s">
        <v>2104</v>
      </c>
      <c r="E171" s="1">
        <v>37</v>
      </c>
      <c r="F171" s="1" t="s">
        <v>2118</v>
      </c>
      <c r="G171" s="1" t="s">
        <v>2119</v>
      </c>
      <c r="H171" s="1" t="s">
        <v>2120</v>
      </c>
      <c r="I171" s="1" t="s">
        <v>7</v>
      </c>
      <c r="J171" s="1" t="s">
        <v>2121</v>
      </c>
      <c r="K171" s="1" t="s">
        <v>2122</v>
      </c>
      <c r="O171" s="1">
        <v>1</v>
      </c>
      <c r="P171" s="1" t="s">
        <v>1270</v>
      </c>
      <c r="Q171" s="1">
        <v>2009</v>
      </c>
      <c r="R171" s="1" t="s">
        <v>2110</v>
      </c>
      <c r="S171" s="1" t="s">
        <v>27</v>
      </c>
      <c r="T171" s="6">
        <v>1</v>
      </c>
      <c r="Z171" s="1">
        <v>77.819999999999993</v>
      </c>
      <c r="AA171" s="1">
        <v>6.25</v>
      </c>
      <c r="AC171" s="1">
        <v>19.97</v>
      </c>
      <c r="AI171" s="1">
        <v>0.24</v>
      </c>
      <c r="AK171" s="1">
        <v>6.6368568000000003E-2</v>
      </c>
      <c r="AL171" s="1">
        <v>3.3531551999999999E-2</v>
      </c>
      <c r="AM171" s="1">
        <v>6.1619880000000002E-2</v>
      </c>
      <c r="AV171" s="1">
        <v>1.5</v>
      </c>
    </row>
    <row r="172" spans="1:161" x14ac:dyDescent="0.2">
      <c r="A172" s="1" t="s">
        <v>2123</v>
      </c>
      <c r="B172" s="1" t="s">
        <v>55</v>
      </c>
      <c r="C172" s="1" t="s">
        <v>446</v>
      </c>
      <c r="D172" s="1" t="s">
        <v>2</v>
      </c>
      <c r="E172" s="1">
        <v>11</v>
      </c>
      <c r="F172" s="1" t="s">
        <v>2124</v>
      </c>
      <c r="G172" s="1" t="s">
        <v>2125</v>
      </c>
      <c r="H172" s="1" t="s">
        <v>2126</v>
      </c>
      <c r="I172" s="1" t="s">
        <v>7</v>
      </c>
      <c r="J172" s="1" t="s">
        <v>2127</v>
      </c>
      <c r="K172" s="1" t="s">
        <v>2128</v>
      </c>
      <c r="L172" s="1" t="s">
        <v>2127</v>
      </c>
      <c r="N172" s="1" t="s">
        <v>2129</v>
      </c>
      <c r="O172" s="1">
        <v>1</v>
      </c>
      <c r="P172" s="1" t="s">
        <v>1671</v>
      </c>
      <c r="Q172" s="1">
        <v>2011</v>
      </c>
      <c r="R172" s="1" t="s">
        <v>2130</v>
      </c>
      <c r="S172" s="1" t="s">
        <v>27</v>
      </c>
      <c r="T172" s="6">
        <v>1</v>
      </c>
      <c r="U172" s="1">
        <v>0.52</v>
      </c>
      <c r="V172" s="1">
        <v>474.24</v>
      </c>
      <c r="W172" s="1">
        <v>113.27</v>
      </c>
      <c r="Z172" s="1">
        <v>72.099999999999994</v>
      </c>
      <c r="AC172" s="1">
        <v>23.57</v>
      </c>
      <c r="AH172" s="1">
        <v>3.11</v>
      </c>
      <c r="AK172" s="1">
        <v>0.75685641679784299</v>
      </c>
      <c r="AL172" s="1">
        <v>0.93113117363795395</v>
      </c>
      <c r="AM172" s="1">
        <v>1.0613407854399499</v>
      </c>
      <c r="AN172" s="1">
        <v>9.3016241242497993E-3</v>
      </c>
      <c r="AV172" s="1">
        <v>1.21</v>
      </c>
    </row>
    <row r="173" spans="1:161" x14ac:dyDescent="0.2">
      <c r="A173" s="1" t="s">
        <v>2131</v>
      </c>
      <c r="B173" s="1" t="s">
        <v>55</v>
      </c>
      <c r="C173" s="1" t="s">
        <v>446</v>
      </c>
      <c r="D173" s="1" t="s">
        <v>2</v>
      </c>
      <c r="E173" s="1">
        <v>11</v>
      </c>
      <c r="F173" s="1" t="s">
        <v>2132</v>
      </c>
      <c r="G173" s="1" t="s">
        <v>2133</v>
      </c>
      <c r="H173" s="1" t="s">
        <v>2134</v>
      </c>
      <c r="I173" s="1" t="s">
        <v>7</v>
      </c>
      <c r="J173" s="1" t="s">
        <v>2135</v>
      </c>
      <c r="K173" s="1" t="s">
        <v>2136</v>
      </c>
      <c r="L173" s="1" t="s">
        <v>2135</v>
      </c>
      <c r="N173" s="1" t="s">
        <v>2137</v>
      </c>
      <c r="O173" s="1">
        <v>1</v>
      </c>
      <c r="P173" s="1" t="s">
        <v>1671</v>
      </c>
      <c r="Q173" s="1">
        <v>2011</v>
      </c>
      <c r="R173" s="1" t="s">
        <v>2130</v>
      </c>
      <c r="S173" s="1" t="s">
        <v>27</v>
      </c>
      <c r="T173" s="6">
        <v>1</v>
      </c>
      <c r="U173" s="1">
        <v>0.504</v>
      </c>
      <c r="V173" s="1">
        <v>421.61</v>
      </c>
      <c r="W173" s="1">
        <v>100.7</v>
      </c>
      <c r="Z173" s="1">
        <v>74.98</v>
      </c>
      <c r="AC173" s="1">
        <v>21.08</v>
      </c>
      <c r="AH173" s="1">
        <v>2.82</v>
      </c>
      <c r="AK173" s="1">
        <v>0.68902964552921198</v>
      </c>
      <c r="AL173" s="1">
        <v>0.85478819819522101</v>
      </c>
      <c r="AM173" s="1">
        <v>0.69319336303163903</v>
      </c>
      <c r="AN173" s="1">
        <v>0.25104879324392798</v>
      </c>
      <c r="AV173" s="1">
        <v>1.1200000000000001</v>
      </c>
    </row>
    <row r="174" spans="1:161" x14ac:dyDescent="0.2">
      <c r="A174" s="1" t="s">
        <v>2138</v>
      </c>
      <c r="B174" s="1" t="s">
        <v>55</v>
      </c>
      <c r="C174" s="1" t="s">
        <v>446</v>
      </c>
      <c r="D174" s="1" t="s">
        <v>2</v>
      </c>
      <c r="E174" s="1">
        <v>11</v>
      </c>
      <c r="F174" s="1" t="s">
        <v>2139</v>
      </c>
      <c r="G174" s="1" t="s">
        <v>2140</v>
      </c>
      <c r="H174" s="1" t="s">
        <v>2141</v>
      </c>
      <c r="I174" s="1" t="s">
        <v>7</v>
      </c>
      <c r="J174" s="1" t="s">
        <v>2142</v>
      </c>
      <c r="K174" s="1" t="s">
        <v>2143</v>
      </c>
      <c r="L174" s="1" t="s">
        <v>2142</v>
      </c>
      <c r="N174" s="1" t="s">
        <v>2144</v>
      </c>
      <c r="O174" s="1">
        <v>1</v>
      </c>
      <c r="P174" s="1" t="s">
        <v>1671</v>
      </c>
      <c r="Q174" s="1">
        <v>2011</v>
      </c>
      <c r="R174" s="1" t="s">
        <v>2130</v>
      </c>
      <c r="S174" s="1" t="s">
        <v>27</v>
      </c>
      <c r="T174" s="6">
        <v>1</v>
      </c>
      <c r="U174" s="1">
        <v>0.48099999999999998</v>
      </c>
      <c r="V174" s="1">
        <v>394.1</v>
      </c>
      <c r="W174" s="1">
        <v>94.13</v>
      </c>
      <c r="Z174" s="1">
        <v>76.05</v>
      </c>
      <c r="AC174" s="1">
        <v>20</v>
      </c>
      <c r="AH174" s="1">
        <v>2.82</v>
      </c>
      <c r="AK174" s="1">
        <v>0.79506203620000004</v>
      </c>
      <c r="AL174" s="1">
        <v>0.81610791424649298</v>
      </c>
      <c r="AM174" s="1">
        <v>0.87689004955350802</v>
      </c>
      <c r="AV174" s="1">
        <v>1.1499999999999999</v>
      </c>
    </row>
    <row r="175" spans="1:161" x14ac:dyDescent="0.2">
      <c r="A175" s="1" t="s">
        <v>2145</v>
      </c>
      <c r="B175" s="1" t="s">
        <v>55</v>
      </c>
      <c r="C175" s="1" t="s">
        <v>2146</v>
      </c>
      <c r="D175" s="1" t="s">
        <v>2</v>
      </c>
      <c r="E175" s="1">
        <v>33</v>
      </c>
      <c r="F175" s="1" t="s">
        <v>1289</v>
      </c>
      <c r="H175" s="1" t="s">
        <v>2147</v>
      </c>
      <c r="I175" s="1" t="s">
        <v>7</v>
      </c>
      <c r="J175" s="1" t="s">
        <v>1291</v>
      </c>
      <c r="K175" s="1" t="s">
        <v>1292</v>
      </c>
      <c r="L175" s="1" t="s">
        <v>1291</v>
      </c>
      <c r="M175" s="1" t="s">
        <v>2148</v>
      </c>
      <c r="N175" s="1" t="s">
        <v>2149</v>
      </c>
      <c r="P175" s="1" t="s">
        <v>2150</v>
      </c>
      <c r="Q175" s="1">
        <v>2002</v>
      </c>
      <c r="R175" s="1" t="s">
        <v>2151</v>
      </c>
      <c r="S175" s="1" t="s">
        <v>27</v>
      </c>
      <c r="T175" s="6">
        <v>1</v>
      </c>
      <c r="Z175" s="1">
        <v>72.2</v>
      </c>
      <c r="AC175" s="1">
        <v>20.7</v>
      </c>
      <c r="AH175" s="1">
        <v>5.2</v>
      </c>
      <c r="AK175" s="1">
        <v>1.3749112000000001</v>
      </c>
      <c r="AL175" s="1">
        <v>1.6291755999999999</v>
      </c>
      <c r="AM175" s="1">
        <v>1.6998046</v>
      </c>
      <c r="AV175" s="1">
        <v>1.5</v>
      </c>
      <c r="AW175" s="1">
        <v>2.5019999999999998</v>
      </c>
      <c r="BA175" s="1">
        <v>25.02</v>
      </c>
      <c r="BB175" s="1">
        <v>4.726</v>
      </c>
      <c r="BD175" s="1">
        <v>0.107586</v>
      </c>
      <c r="BF175" s="1">
        <v>1.423916</v>
      </c>
      <c r="BK175" s="1">
        <v>0.20155000000000001</v>
      </c>
      <c r="BL175" s="1">
        <v>19.46</v>
      </c>
      <c r="BO175" s="1">
        <v>135.94200000000001</v>
      </c>
      <c r="BU175" s="1">
        <v>55.878</v>
      </c>
      <c r="BV175" s="1">
        <v>6.6719999999999997</v>
      </c>
      <c r="BW175" s="1">
        <v>1.2537799999999999</v>
      </c>
      <c r="BX175" s="1">
        <v>149.00800000000001</v>
      </c>
      <c r="CA175" s="1">
        <v>7.5060000000000002</v>
      </c>
      <c r="CC175" s="1">
        <v>28.634</v>
      </c>
    </row>
    <row r="176" spans="1:161" x14ac:dyDescent="0.2">
      <c r="A176" s="1" t="s">
        <v>2152</v>
      </c>
      <c r="B176" s="1" t="s">
        <v>55</v>
      </c>
      <c r="C176" s="1" t="s">
        <v>1279</v>
      </c>
      <c r="D176" s="1" t="s">
        <v>2</v>
      </c>
      <c r="E176" s="1">
        <v>11</v>
      </c>
      <c r="F176" s="1" t="s">
        <v>1390</v>
      </c>
      <c r="H176" s="1" t="s">
        <v>2153</v>
      </c>
      <c r="I176" s="1" t="s">
        <v>7</v>
      </c>
      <c r="J176" s="1" t="s">
        <v>1393</v>
      </c>
      <c r="K176" s="1" t="s">
        <v>1394</v>
      </c>
      <c r="L176" s="1" t="s">
        <v>1393</v>
      </c>
      <c r="O176" s="1">
        <v>1</v>
      </c>
      <c r="P176" s="1" t="s">
        <v>1671</v>
      </c>
      <c r="Q176" s="1">
        <v>2011</v>
      </c>
      <c r="R176" s="1" t="s">
        <v>2154</v>
      </c>
      <c r="S176" s="1" t="s">
        <v>27</v>
      </c>
      <c r="T176" s="6">
        <v>1</v>
      </c>
      <c r="Z176" s="1">
        <v>77.7</v>
      </c>
      <c r="AA176" s="1">
        <v>6.25</v>
      </c>
      <c r="AC176" s="1">
        <v>16.7</v>
      </c>
      <c r="AI176" s="1">
        <v>5.0999999999999996</v>
      </c>
      <c r="AK176" s="1">
        <v>1.24270527139253</v>
      </c>
      <c r="AL176" s="1">
        <v>2.3591865721079799</v>
      </c>
      <c r="AM176" s="1">
        <v>1.0134081564994899</v>
      </c>
      <c r="AV176" s="1">
        <v>0.6</v>
      </c>
    </row>
    <row r="177" spans="1:162" x14ac:dyDescent="0.2">
      <c r="A177" s="1" t="s">
        <v>2155</v>
      </c>
      <c r="B177" s="1" t="s">
        <v>55</v>
      </c>
      <c r="C177" s="1" t="s">
        <v>1279</v>
      </c>
      <c r="D177" s="1" t="s">
        <v>2</v>
      </c>
      <c r="E177" s="1">
        <v>23</v>
      </c>
      <c r="F177" s="1" t="s">
        <v>1472</v>
      </c>
      <c r="H177" s="1" t="s">
        <v>2156</v>
      </c>
      <c r="I177" s="1" t="s">
        <v>7</v>
      </c>
      <c r="J177" s="1" t="s">
        <v>1474</v>
      </c>
      <c r="K177" s="1" t="s">
        <v>1475</v>
      </c>
      <c r="L177" s="1" t="s">
        <v>1474</v>
      </c>
      <c r="O177" s="1">
        <v>1</v>
      </c>
      <c r="P177" s="1" t="s">
        <v>1671</v>
      </c>
      <c r="Q177" s="1">
        <v>2011</v>
      </c>
      <c r="R177" s="1" t="s">
        <v>2154</v>
      </c>
      <c r="S177" s="1" t="s">
        <v>27</v>
      </c>
      <c r="T177" s="6">
        <v>1</v>
      </c>
      <c r="Z177" s="1">
        <v>73</v>
      </c>
      <c r="AA177" s="1">
        <v>6.25</v>
      </c>
      <c r="AC177" s="1">
        <v>18.899999999999999</v>
      </c>
      <c r="AI177" s="1">
        <v>7.4</v>
      </c>
      <c r="AK177" s="1">
        <v>1.4855618961919499</v>
      </c>
      <c r="AL177" s="1">
        <v>2.1357526122934001</v>
      </c>
      <c r="AM177" s="1">
        <v>3.1398854915146499</v>
      </c>
      <c r="AV177" s="1">
        <v>0.8</v>
      </c>
    </row>
    <row r="178" spans="1:162" x14ac:dyDescent="0.2">
      <c r="A178" s="1" t="s">
        <v>2157</v>
      </c>
      <c r="B178" s="1" t="s">
        <v>55</v>
      </c>
      <c r="C178" s="1" t="s">
        <v>1344</v>
      </c>
      <c r="D178" s="1" t="s">
        <v>2</v>
      </c>
      <c r="E178" s="1">
        <v>13</v>
      </c>
      <c r="F178" s="1" t="s">
        <v>1266</v>
      </c>
      <c r="H178" s="1" t="s">
        <v>2158</v>
      </c>
      <c r="I178" s="1" t="s">
        <v>7</v>
      </c>
      <c r="J178" s="1" t="s">
        <v>1268</v>
      </c>
      <c r="K178" s="1" t="s">
        <v>1269</v>
      </c>
      <c r="L178" s="1" t="s">
        <v>1268</v>
      </c>
      <c r="O178" s="1">
        <v>1</v>
      </c>
      <c r="P178" s="1" t="s">
        <v>1671</v>
      </c>
      <c r="Q178" s="1">
        <v>2011</v>
      </c>
      <c r="R178" s="1" t="s">
        <v>2154</v>
      </c>
      <c r="S178" s="1" t="s">
        <v>27</v>
      </c>
      <c r="T178" s="6">
        <v>1</v>
      </c>
      <c r="Z178" s="1">
        <v>84.7</v>
      </c>
      <c r="AA178" s="1">
        <v>6.25</v>
      </c>
      <c r="AC178" s="1">
        <v>12.9</v>
      </c>
      <c r="AI178" s="1">
        <v>1.3</v>
      </c>
      <c r="AK178" s="1">
        <v>0.450251290768863</v>
      </c>
      <c r="AL178" s="1">
        <v>0.43076598193721799</v>
      </c>
      <c r="AM178" s="1">
        <v>0.188882727293919</v>
      </c>
      <c r="AV178" s="1">
        <v>1.1000000000000001</v>
      </c>
    </row>
    <row r="179" spans="1:162" x14ac:dyDescent="0.2">
      <c r="A179" s="1" t="s">
        <v>2159</v>
      </c>
      <c r="B179" s="1" t="s">
        <v>55</v>
      </c>
      <c r="C179" s="1" t="s">
        <v>2160</v>
      </c>
      <c r="D179" s="1" t="s">
        <v>2</v>
      </c>
      <c r="E179" s="1">
        <v>12</v>
      </c>
      <c r="F179" s="1" t="s">
        <v>1374</v>
      </c>
      <c r="H179" s="1" t="s">
        <v>2161</v>
      </c>
      <c r="I179" s="1" t="s">
        <v>7</v>
      </c>
      <c r="J179" s="1" t="s">
        <v>1376</v>
      </c>
      <c r="K179" s="1" t="s">
        <v>1377</v>
      </c>
      <c r="L179" s="1" t="s">
        <v>1376</v>
      </c>
      <c r="O179" s="1">
        <v>1</v>
      </c>
      <c r="P179" s="1" t="s">
        <v>1671</v>
      </c>
      <c r="Q179" s="1">
        <v>2011</v>
      </c>
      <c r="R179" s="1" t="s">
        <v>2154</v>
      </c>
      <c r="S179" s="1" t="s">
        <v>27</v>
      </c>
      <c r="T179" s="6">
        <v>1</v>
      </c>
      <c r="Z179" s="1">
        <v>81.2</v>
      </c>
      <c r="AA179" s="1">
        <v>6.25</v>
      </c>
      <c r="AC179" s="1">
        <v>16.399999999999999</v>
      </c>
      <c r="AI179" s="1">
        <v>2</v>
      </c>
      <c r="AK179" s="1">
        <v>0.60803339541166801</v>
      </c>
      <c r="AL179" s="1">
        <v>0.57071466302795104</v>
      </c>
      <c r="AM179" s="1">
        <v>0.54425194156038104</v>
      </c>
      <c r="AV179" s="1">
        <v>0.5</v>
      </c>
    </row>
    <row r="180" spans="1:162" x14ac:dyDescent="0.2">
      <c r="A180" s="1" t="s">
        <v>2162</v>
      </c>
      <c r="B180" s="1" t="s">
        <v>55</v>
      </c>
      <c r="C180" s="1" t="s">
        <v>2163</v>
      </c>
      <c r="E180" s="1">
        <v>11</v>
      </c>
      <c r="F180" s="1" t="s">
        <v>2124</v>
      </c>
      <c r="H180" s="1" t="s">
        <v>2164</v>
      </c>
      <c r="I180" s="1" t="s">
        <v>7</v>
      </c>
      <c r="J180" s="1" t="s">
        <v>2165</v>
      </c>
      <c r="K180" s="1" t="s">
        <v>2128</v>
      </c>
      <c r="L180" s="1" t="s">
        <v>2165</v>
      </c>
      <c r="M180" s="1" t="s">
        <v>2166</v>
      </c>
      <c r="O180" s="1">
        <v>1</v>
      </c>
      <c r="P180" s="1" t="s">
        <v>1270</v>
      </c>
      <c r="Q180" s="1">
        <v>2010</v>
      </c>
      <c r="R180" s="1" t="s">
        <v>2167</v>
      </c>
      <c r="S180" s="1" t="s">
        <v>27</v>
      </c>
      <c r="T180" s="6">
        <v>1</v>
      </c>
      <c r="U180" s="1">
        <v>0.68500000000000005</v>
      </c>
      <c r="AH180" s="1">
        <v>2.9</v>
      </c>
      <c r="AK180" s="1">
        <v>0.79327420000000004</v>
      </c>
      <c r="AL180" s="1">
        <v>0.77034720000000001</v>
      </c>
      <c r="AM180" s="1">
        <v>0.57546770000000003</v>
      </c>
      <c r="FB180" s="1">
        <v>0.24360000000000001</v>
      </c>
    </row>
    <row r="181" spans="1:162" x14ac:dyDescent="0.2">
      <c r="A181" s="1" t="s">
        <v>2168</v>
      </c>
      <c r="B181" s="1" t="s">
        <v>55</v>
      </c>
      <c r="C181" s="1" t="s">
        <v>2163</v>
      </c>
      <c r="E181" s="1">
        <v>11</v>
      </c>
      <c r="F181" s="1" t="s">
        <v>2139</v>
      </c>
      <c r="H181" s="1" t="s">
        <v>2169</v>
      </c>
      <c r="I181" s="1" t="s">
        <v>7</v>
      </c>
      <c r="J181" s="1" t="s">
        <v>2142</v>
      </c>
      <c r="K181" s="1" t="s">
        <v>2143</v>
      </c>
      <c r="L181" s="1" t="s">
        <v>2142</v>
      </c>
      <c r="M181" s="1" t="s">
        <v>2166</v>
      </c>
      <c r="O181" s="1">
        <v>1</v>
      </c>
      <c r="P181" s="1" t="s">
        <v>1270</v>
      </c>
      <c r="Q181" s="1">
        <v>2010</v>
      </c>
      <c r="R181" s="1" t="s">
        <v>2167</v>
      </c>
      <c r="S181" s="1" t="s">
        <v>27</v>
      </c>
      <c r="T181" s="6">
        <v>1</v>
      </c>
      <c r="U181" s="1">
        <v>0.66</v>
      </c>
      <c r="AH181" s="1">
        <v>1.2</v>
      </c>
      <c r="AK181" s="1">
        <v>0.27204099999999998</v>
      </c>
      <c r="AL181" s="1">
        <v>0.16181139999999999</v>
      </c>
      <c r="AM181" s="1">
        <v>0.166051</v>
      </c>
      <c r="FB181" s="1">
        <v>8.6400000000000005E-2</v>
      </c>
    </row>
    <row r="182" spans="1:162" x14ac:dyDescent="0.2">
      <c r="A182" s="1" t="s">
        <v>2170</v>
      </c>
      <c r="B182" s="1" t="s">
        <v>55</v>
      </c>
      <c r="C182" s="1" t="s">
        <v>2163</v>
      </c>
      <c r="E182" s="1">
        <v>11</v>
      </c>
      <c r="F182" s="1" t="s">
        <v>2132</v>
      </c>
      <c r="H182" s="1" t="s">
        <v>2171</v>
      </c>
      <c r="I182" s="1" t="s">
        <v>7</v>
      </c>
      <c r="J182" s="1" t="s">
        <v>2135</v>
      </c>
      <c r="K182" s="1" t="s">
        <v>2136</v>
      </c>
      <c r="L182" s="1" t="s">
        <v>2135</v>
      </c>
      <c r="M182" s="1" t="s">
        <v>2166</v>
      </c>
      <c r="O182" s="1">
        <v>1</v>
      </c>
      <c r="P182" s="1" t="s">
        <v>1270</v>
      </c>
      <c r="Q182" s="1">
        <v>2010</v>
      </c>
      <c r="R182" s="1" t="s">
        <v>2167</v>
      </c>
      <c r="S182" s="1" t="s">
        <v>27</v>
      </c>
      <c r="T182" s="6">
        <v>1</v>
      </c>
      <c r="U182" s="1">
        <v>0.75600000000000001</v>
      </c>
      <c r="AH182" s="1">
        <v>1.8</v>
      </c>
      <c r="AK182" s="1">
        <v>0.49896160000000001</v>
      </c>
      <c r="AL182" s="1">
        <v>0.43944080000000002</v>
      </c>
      <c r="AM182" s="1">
        <v>0.15323439999999999</v>
      </c>
      <c r="FB182" s="1">
        <v>0.24660000000000001</v>
      </c>
    </row>
    <row r="183" spans="1:162" x14ac:dyDescent="0.2">
      <c r="A183" s="1" t="s">
        <v>2172</v>
      </c>
      <c r="B183" s="1" t="s">
        <v>55</v>
      </c>
      <c r="C183" s="1" t="s">
        <v>2163</v>
      </c>
      <c r="E183" s="1">
        <v>12</v>
      </c>
      <c r="F183" s="1" t="s">
        <v>1551</v>
      </c>
      <c r="H183" s="1" t="s">
        <v>2173</v>
      </c>
      <c r="I183" s="1" t="s">
        <v>7</v>
      </c>
      <c r="J183" s="1" t="s">
        <v>1553</v>
      </c>
      <c r="K183" s="1" t="s">
        <v>1554</v>
      </c>
      <c r="L183" s="1" t="s">
        <v>1553</v>
      </c>
      <c r="M183" s="1" t="s">
        <v>2166</v>
      </c>
      <c r="O183" s="1">
        <v>1</v>
      </c>
      <c r="P183" s="1" t="s">
        <v>1270</v>
      </c>
      <c r="Q183" s="1">
        <v>2010</v>
      </c>
      <c r="R183" s="1" t="s">
        <v>2167</v>
      </c>
      <c r="S183" s="1" t="s">
        <v>27</v>
      </c>
      <c r="T183" s="6">
        <v>1</v>
      </c>
      <c r="U183" s="1">
        <v>0.66200000000000003</v>
      </c>
      <c r="AH183" s="1">
        <v>0.8</v>
      </c>
      <c r="AK183" s="1">
        <v>0.11669</v>
      </c>
      <c r="AL183" s="1">
        <v>6.6680000000000003E-2</v>
      </c>
      <c r="AM183" s="1">
        <v>0.118357</v>
      </c>
      <c r="FB183" s="1">
        <v>7.2800000000000004E-2</v>
      </c>
    </row>
    <row r="184" spans="1:162" x14ac:dyDescent="0.2">
      <c r="A184" s="1" t="s">
        <v>2174</v>
      </c>
      <c r="B184" s="1" t="s">
        <v>55</v>
      </c>
      <c r="C184" s="1" t="s">
        <v>2163</v>
      </c>
      <c r="E184" s="1">
        <v>11</v>
      </c>
      <c r="F184" s="1" t="s">
        <v>1390</v>
      </c>
      <c r="H184" s="1" t="s">
        <v>2175</v>
      </c>
      <c r="I184" s="1" t="s">
        <v>7</v>
      </c>
      <c r="J184" s="1" t="s">
        <v>1393</v>
      </c>
      <c r="K184" s="1" t="s">
        <v>1394</v>
      </c>
      <c r="L184" s="1" t="s">
        <v>1393</v>
      </c>
      <c r="M184" s="1" t="s">
        <v>2166</v>
      </c>
      <c r="O184" s="1">
        <v>1</v>
      </c>
      <c r="P184" s="1" t="s">
        <v>1270</v>
      </c>
      <c r="Q184" s="1">
        <v>2010</v>
      </c>
      <c r="R184" s="1" t="s">
        <v>2167</v>
      </c>
      <c r="S184" s="1" t="s">
        <v>27</v>
      </c>
      <c r="T184" s="6">
        <v>1</v>
      </c>
      <c r="U184" s="1">
        <v>0.79500000000000004</v>
      </c>
      <c r="AH184" s="1">
        <v>3.8</v>
      </c>
      <c r="AK184" s="1">
        <v>0.72984919999999998</v>
      </c>
      <c r="AL184" s="1">
        <v>0.58262639999999999</v>
      </c>
      <c r="AM184" s="1">
        <v>1.1965768000000001</v>
      </c>
      <c r="FB184" s="1">
        <v>9.8799999999999999E-2</v>
      </c>
    </row>
    <row r="185" spans="1:162" x14ac:dyDescent="0.2">
      <c r="A185" s="1" t="s">
        <v>2176</v>
      </c>
      <c r="B185" s="1" t="s">
        <v>55</v>
      </c>
      <c r="C185" s="1" t="s">
        <v>2177</v>
      </c>
      <c r="D185" s="1" t="s">
        <v>2</v>
      </c>
      <c r="E185" s="1">
        <v>33</v>
      </c>
      <c r="F185" s="1" t="s">
        <v>2178</v>
      </c>
      <c r="H185" s="1" t="s">
        <v>2179</v>
      </c>
      <c r="I185" s="1" t="s">
        <v>7</v>
      </c>
      <c r="J185" s="1" t="s">
        <v>2180</v>
      </c>
      <c r="K185" s="1" t="s">
        <v>2181</v>
      </c>
      <c r="L185" s="1" t="s">
        <v>2180</v>
      </c>
      <c r="N185" s="1" t="s">
        <v>2182</v>
      </c>
      <c r="O185" s="1">
        <v>6</v>
      </c>
      <c r="Q185" s="1">
        <v>2009</v>
      </c>
      <c r="R185" s="1" t="s">
        <v>2183</v>
      </c>
      <c r="S185" s="1" t="s">
        <v>27</v>
      </c>
      <c r="T185" s="6">
        <v>1</v>
      </c>
      <c r="Z185" s="1">
        <v>74.92</v>
      </c>
      <c r="AH185" s="1">
        <v>1.23</v>
      </c>
      <c r="AK185" s="1">
        <v>0.373</v>
      </c>
      <c r="AL185" s="1">
        <v>0.30399999999999999</v>
      </c>
      <c r="AM185" s="1">
        <v>0.53300000000000003</v>
      </c>
      <c r="AY185" s="1">
        <v>59</v>
      </c>
      <c r="BD185" s="1">
        <v>1.9E-2</v>
      </c>
      <c r="BF185" s="1">
        <v>0.36599999999999999</v>
      </c>
      <c r="BJ185" s="1">
        <v>28</v>
      </c>
      <c r="BK185" s="1">
        <v>2.1000000000000001E-2</v>
      </c>
      <c r="BS185" s="1">
        <v>142</v>
      </c>
      <c r="BW185" s="1">
        <v>0.34399999999999997</v>
      </c>
      <c r="CV185" s="1">
        <v>0.48899999999999999</v>
      </c>
      <c r="FA185" s="1">
        <v>4.0000000000000001E-3</v>
      </c>
      <c r="FB185" s="1">
        <v>0.27600000000000002</v>
      </c>
      <c r="FE185" s="1">
        <v>4.4999999999999998E-2</v>
      </c>
      <c r="FF185" s="1">
        <v>21</v>
      </c>
    </row>
    <row r="186" spans="1:162" x14ac:dyDescent="0.2">
      <c r="A186" s="1" t="s">
        <v>2184</v>
      </c>
      <c r="B186" s="1" t="s">
        <v>55</v>
      </c>
      <c r="C186" s="1" t="s">
        <v>2177</v>
      </c>
      <c r="D186" s="1" t="s">
        <v>2</v>
      </c>
      <c r="E186" s="1">
        <v>33</v>
      </c>
      <c r="F186" s="1" t="s">
        <v>2178</v>
      </c>
      <c r="H186" s="1" t="s">
        <v>2185</v>
      </c>
      <c r="I186" s="1" t="s">
        <v>7</v>
      </c>
      <c r="J186" s="1" t="s">
        <v>2180</v>
      </c>
      <c r="K186" s="1" t="s">
        <v>2181</v>
      </c>
      <c r="L186" s="1" t="s">
        <v>2180</v>
      </c>
      <c r="N186" s="1" t="s">
        <v>2182</v>
      </c>
      <c r="O186" s="1">
        <v>6</v>
      </c>
      <c r="Q186" s="1">
        <v>2009</v>
      </c>
      <c r="R186" s="1" t="s">
        <v>2183</v>
      </c>
      <c r="S186" s="1" t="s">
        <v>27</v>
      </c>
      <c r="T186" s="6">
        <v>1</v>
      </c>
      <c r="Z186" s="1">
        <v>73.97</v>
      </c>
      <c r="AH186" s="1">
        <v>1.53</v>
      </c>
      <c r="AK186" s="1">
        <v>0.47</v>
      </c>
      <c r="AL186" s="1">
        <v>0.38500000000000001</v>
      </c>
      <c r="AM186" s="1">
        <v>0.65400000000000003</v>
      </c>
      <c r="AY186" s="1">
        <v>21</v>
      </c>
      <c r="BD186" s="1">
        <v>0.03</v>
      </c>
      <c r="BF186" s="1">
        <v>0.17899999999999999</v>
      </c>
      <c r="BJ186" s="1">
        <v>31</v>
      </c>
      <c r="BK186" s="1">
        <v>1.7999999999999999E-2</v>
      </c>
      <c r="BS186" s="1">
        <v>113</v>
      </c>
      <c r="BW186" s="1">
        <v>0.35</v>
      </c>
      <c r="CV186" s="1">
        <v>0.51300000000000001</v>
      </c>
      <c r="FA186" s="1">
        <v>4.1999999999999997E-3</v>
      </c>
      <c r="FB186" s="1">
        <v>0.27300000000000002</v>
      </c>
      <c r="FE186" s="1">
        <v>5.3999999999999999E-2</v>
      </c>
      <c r="FF186" s="1">
        <v>23</v>
      </c>
    </row>
    <row r="187" spans="1:162" x14ac:dyDescent="0.2">
      <c r="A187" s="1" t="s">
        <v>2186</v>
      </c>
      <c r="B187" s="1" t="s">
        <v>55</v>
      </c>
      <c r="C187" s="1" t="s">
        <v>2177</v>
      </c>
      <c r="D187" s="1" t="s">
        <v>2</v>
      </c>
      <c r="E187" s="1">
        <v>33</v>
      </c>
      <c r="F187" s="1" t="s">
        <v>2178</v>
      </c>
      <c r="H187" s="1" t="s">
        <v>2187</v>
      </c>
      <c r="I187" s="1" t="s">
        <v>7</v>
      </c>
      <c r="J187" s="1" t="s">
        <v>2180</v>
      </c>
      <c r="K187" s="1" t="s">
        <v>2181</v>
      </c>
      <c r="L187" s="1" t="s">
        <v>2180</v>
      </c>
      <c r="N187" s="1" t="s">
        <v>2182</v>
      </c>
      <c r="O187" s="1">
        <v>6</v>
      </c>
      <c r="Q187" s="1">
        <v>2009</v>
      </c>
      <c r="R187" s="1" t="s">
        <v>2183</v>
      </c>
      <c r="S187" s="1" t="s">
        <v>27</v>
      </c>
      <c r="T187" s="6">
        <v>1</v>
      </c>
      <c r="Z187" s="1">
        <v>75.72</v>
      </c>
      <c r="AH187" s="1">
        <v>1.1599999999999999</v>
      </c>
      <c r="AK187" s="1">
        <v>0.35099999999999998</v>
      </c>
      <c r="AL187" s="1">
        <v>0.27200000000000002</v>
      </c>
      <c r="AM187" s="1">
        <v>0.51600000000000001</v>
      </c>
      <c r="AY187" s="1">
        <v>21</v>
      </c>
      <c r="BD187" s="1">
        <v>2.1999999999999999E-2</v>
      </c>
      <c r="BF187" s="1">
        <v>0.19700000000000001</v>
      </c>
      <c r="BJ187" s="1">
        <v>31</v>
      </c>
      <c r="BK187" s="1">
        <v>8.0000000000000002E-3</v>
      </c>
      <c r="BS187" s="1">
        <v>115</v>
      </c>
      <c r="BW187" s="1">
        <v>0.34300000000000003</v>
      </c>
      <c r="CV187" s="1">
        <v>0.439</v>
      </c>
      <c r="FA187" s="1">
        <v>4.7999999999999996E-3</v>
      </c>
      <c r="FB187" s="1">
        <v>0.27300000000000002</v>
      </c>
      <c r="FE187" s="1">
        <v>4.1000000000000002E-2</v>
      </c>
      <c r="FF187" s="1">
        <v>24</v>
      </c>
    </row>
    <row r="188" spans="1:162" x14ac:dyDescent="0.2">
      <c r="A188" s="1" t="s">
        <v>2188</v>
      </c>
      <c r="B188" s="1" t="s">
        <v>55</v>
      </c>
      <c r="C188" s="1" t="s">
        <v>2189</v>
      </c>
      <c r="D188" s="1" t="s">
        <v>2</v>
      </c>
      <c r="E188" s="1">
        <v>31</v>
      </c>
      <c r="F188" s="1" t="s">
        <v>2190</v>
      </c>
      <c r="H188" s="1" t="s">
        <v>2191</v>
      </c>
      <c r="I188" s="1" t="s">
        <v>7</v>
      </c>
      <c r="J188" s="1" t="s">
        <v>2192</v>
      </c>
      <c r="K188" s="1" t="s">
        <v>2193</v>
      </c>
      <c r="L188" s="1" t="s">
        <v>2192</v>
      </c>
      <c r="M188" s="1" t="s">
        <v>481</v>
      </c>
      <c r="N188" s="1" t="s">
        <v>2194</v>
      </c>
      <c r="P188" s="1" t="s">
        <v>2195</v>
      </c>
      <c r="Q188" s="1">
        <v>2003</v>
      </c>
      <c r="R188" s="1" t="s">
        <v>2196</v>
      </c>
      <c r="S188" s="1" t="s">
        <v>27</v>
      </c>
      <c r="T188" s="6">
        <v>1</v>
      </c>
      <c r="Z188" s="1">
        <v>76.099999999999994</v>
      </c>
      <c r="AI188" s="1">
        <v>3.9</v>
      </c>
      <c r="AM188" s="1">
        <v>1.18</v>
      </c>
    </row>
    <row r="189" spans="1:162" x14ac:dyDescent="0.2">
      <c r="A189" s="1" t="s">
        <v>2197</v>
      </c>
      <c r="B189" s="1" t="s">
        <v>55</v>
      </c>
      <c r="C189" s="1" t="s">
        <v>1702</v>
      </c>
      <c r="D189" s="1" t="s">
        <v>2</v>
      </c>
      <c r="E189" s="1">
        <v>23</v>
      </c>
      <c r="F189" s="1" t="s">
        <v>1711</v>
      </c>
      <c r="H189" s="1" t="s">
        <v>2198</v>
      </c>
      <c r="I189" s="1" t="s">
        <v>7</v>
      </c>
      <c r="J189" s="1" t="s">
        <v>1713</v>
      </c>
      <c r="K189" s="1" t="s">
        <v>1714</v>
      </c>
      <c r="L189" s="1" t="s">
        <v>1713</v>
      </c>
      <c r="M189" s="1" t="s">
        <v>2199</v>
      </c>
      <c r="P189" s="1" t="s">
        <v>1270</v>
      </c>
      <c r="Q189" s="1">
        <v>2010</v>
      </c>
      <c r="R189" s="1" t="s">
        <v>2200</v>
      </c>
      <c r="S189" s="1" t="s">
        <v>27</v>
      </c>
      <c r="T189" s="6">
        <v>1</v>
      </c>
      <c r="Z189" s="1">
        <v>63.86</v>
      </c>
      <c r="AH189" s="1">
        <v>21.61</v>
      </c>
      <c r="AK189" s="1">
        <v>5.5993506609999999</v>
      </c>
      <c r="AL189" s="1">
        <v>8.7683789399999998</v>
      </c>
      <c r="AM189" s="1">
        <v>5.6514003989999999</v>
      </c>
    </row>
    <row r="190" spans="1:162" x14ac:dyDescent="0.2">
      <c r="A190" s="1" t="s">
        <v>2201</v>
      </c>
      <c r="B190" s="1" t="s">
        <v>55</v>
      </c>
      <c r="C190" s="1" t="s">
        <v>1702</v>
      </c>
      <c r="D190" s="1" t="s">
        <v>2</v>
      </c>
      <c r="E190" s="1">
        <v>23</v>
      </c>
      <c r="F190" s="1" t="s">
        <v>1711</v>
      </c>
      <c r="H190" s="1" t="s">
        <v>2202</v>
      </c>
      <c r="I190" s="1" t="s">
        <v>11</v>
      </c>
      <c r="J190" s="1" t="s">
        <v>1713</v>
      </c>
      <c r="K190" s="1" t="s">
        <v>1714</v>
      </c>
      <c r="L190" s="1" t="s">
        <v>1713</v>
      </c>
      <c r="M190" s="1" t="s">
        <v>2199</v>
      </c>
      <c r="N190" s="1" t="s">
        <v>2203</v>
      </c>
      <c r="P190" s="1" t="s">
        <v>1270</v>
      </c>
      <c r="Q190" s="1">
        <v>2010</v>
      </c>
      <c r="R190" s="1" t="s">
        <v>2200</v>
      </c>
      <c r="S190" s="1" t="s">
        <v>27</v>
      </c>
      <c r="T190" s="6">
        <v>1</v>
      </c>
      <c r="Z190" s="1">
        <v>63.36</v>
      </c>
      <c r="AH190" s="1">
        <v>18.02</v>
      </c>
      <c r="AK190" s="1">
        <v>4.6091609900000003</v>
      </c>
      <c r="AL190" s="1">
        <v>7.314646808</v>
      </c>
      <c r="AM190" s="1">
        <v>4.7475191680000002</v>
      </c>
    </row>
    <row r="191" spans="1:162" x14ac:dyDescent="0.2">
      <c r="A191" s="1" t="s">
        <v>2204</v>
      </c>
      <c r="B191" s="1" t="s">
        <v>55</v>
      </c>
      <c r="C191" s="1" t="s">
        <v>1702</v>
      </c>
      <c r="D191" s="1" t="s">
        <v>2</v>
      </c>
      <c r="E191" s="1">
        <v>23</v>
      </c>
      <c r="F191" s="1" t="s">
        <v>1711</v>
      </c>
      <c r="H191" s="1" t="s">
        <v>2205</v>
      </c>
      <c r="I191" s="1" t="s">
        <v>11</v>
      </c>
      <c r="J191" s="1" t="s">
        <v>1713</v>
      </c>
      <c r="K191" s="1" t="s">
        <v>1714</v>
      </c>
      <c r="L191" s="1" t="s">
        <v>1713</v>
      </c>
      <c r="M191" s="1" t="s">
        <v>2199</v>
      </c>
      <c r="N191" s="1" t="s">
        <v>2206</v>
      </c>
      <c r="P191" s="1" t="s">
        <v>1270</v>
      </c>
      <c r="Q191" s="1">
        <v>2010</v>
      </c>
      <c r="R191" s="1" t="s">
        <v>2200</v>
      </c>
      <c r="S191" s="1" t="s">
        <v>27</v>
      </c>
      <c r="T191" s="6">
        <v>1</v>
      </c>
      <c r="Z191" s="1">
        <v>60.71</v>
      </c>
      <c r="AH191" s="1">
        <v>21.2</v>
      </c>
      <c r="AK191" s="1">
        <v>5.3391915399999998</v>
      </c>
      <c r="AL191" s="1">
        <v>8.7481053000000006</v>
      </c>
      <c r="AM191" s="1">
        <v>5.5473394999999996</v>
      </c>
    </row>
    <row r="192" spans="1:162" x14ac:dyDescent="0.2">
      <c r="A192" s="1" t="s">
        <v>2207</v>
      </c>
      <c r="B192" s="1" t="s">
        <v>55</v>
      </c>
      <c r="C192" s="1" t="s">
        <v>1702</v>
      </c>
      <c r="D192" s="1" t="s">
        <v>2</v>
      </c>
      <c r="E192" s="1">
        <v>23</v>
      </c>
      <c r="F192" s="1" t="s">
        <v>1711</v>
      </c>
      <c r="H192" s="1" t="s">
        <v>2208</v>
      </c>
      <c r="I192" s="1" t="s">
        <v>11</v>
      </c>
      <c r="J192" s="1" t="s">
        <v>1713</v>
      </c>
      <c r="K192" s="1" t="s">
        <v>1714</v>
      </c>
      <c r="L192" s="1" t="s">
        <v>1713</v>
      </c>
      <c r="M192" s="1" t="s">
        <v>2199</v>
      </c>
      <c r="N192" s="1" t="s">
        <v>2209</v>
      </c>
      <c r="P192" s="1" t="s">
        <v>1270</v>
      </c>
      <c r="Q192" s="1">
        <v>2010</v>
      </c>
      <c r="R192" s="1" t="s">
        <v>2200</v>
      </c>
      <c r="S192" s="1" t="s">
        <v>27</v>
      </c>
      <c r="T192" s="6">
        <v>1</v>
      </c>
      <c r="Z192" s="1">
        <v>58.84</v>
      </c>
      <c r="AH192" s="1">
        <v>18.32</v>
      </c>
      <c r="AK192" s="1">
        <v>4.6221450119999998</v>
      </c>
      <c r="AL192" s="1">
        <v>7.5256046400000001</v>
      </c>
      <c r="AM192" s="1">
        <v>4.8018103480000001</v>
      </c>
    </row>
    <row r="193" spans="1:153" x14ac:dyDescent="0.2">
      <c r="A193" s="1" t="s">
        <v>2210</v>
      </c>
      <c r="B193" s="1" t="s">
        <v>55</v>
      </c>
      <c r="C193" s="1" t="s">
        <v>1702</v>
      </c>
      <c r="D193" s="1" t="s">
        <v>2</v>
      </c>
      <c r="E193" s="1">
        <v>23</v>
      </c>
      <c r="F193" s="1" t="s">
        <v>1711</v>
      </c>
      <c r="H193" s="1" t="s">
        <v>2211</v>
      </c>
      <c r="I193" s="1" t="s">
        <v>11</v>
      </c>
      <c r="J193" s="1" t="s">
        <v>1713</v>
      </c>
      <c r="K193" s="1" t="s">
        <v>1714</v>
      </c>
      <c r="L193" s="1" t="s">
        <v>1713</v>
      </c>
      <c r="M193" s="1" t="s">
        <v>2199</v>
      </c>
      <c r="N193" s="1" t="s">
        <v>2212</v>
      </c>
      <c r="P193" s="1" t="s">
        <v>1270</v>
      </c>
      <c r="Q193" s="1">
        <v>2010</v>
      </c>
      <c r="R193" s="1" t="s">
        <v>2200</v>
      </c>
      <c r="S193" s="1" t="s">
        <v>27</v>
      </c>
      <c r="T193" s="6">
        <v>1</v>
      </c>
      <c r="Z193" s="1">
        <v>59.43</v>
      </c>
      <c r="AH193" s="1">
        <v>24.68</v>
      </c>
      <c r="AK193" s="1">
        <v>6.3707496959999999</v>
      </c>
      <c r="AL193" s="1">
        <v>10.185419144000001</v>
      </c>
      <c r="AM193" s="1">
        <v>6.3272711599999996</v>
      </c>
    </row>
    <row r="194" spans="1:153" x14ac:dyDescent="0.2">
      <c r="A194" s="1" t="s">
        <v>2213</v>
      </c>
      <c r="B194" s="1" t="s">
        <v>55</v>
      </c>
      <c r="C194" s="1" t="s">
        <v>1702</v>
      </c>
      <c r="D194" s="1" t="s">
        <v>2</v>
      </c>
      <c r="E194" s="1">
        <v>23</v>
      </c>
      <c r="F194" s="1" t="s">
        <v>1711</v>
      </c>
      <c r="H194" s="1" t="s">
        <v>2214</v>
      </c>
      <c r="I194" s="1" t="s">
        <v>11</v>
      </c>
      <c r="J194" s="1" t="s">
        <v>1713</v>
      </c>
      <c r="K194" s="1" t="s">
        <v>1714</v>
      </c>
      <c r="L194" s="1" t="s">
        <v>1713</v>
      </c>
      <c r="M194" s="1" t="s">
        <v>2199</v>
      </c>
      <c r="N194" s="1" t="s">
        <v>2215</v>
      </c>
      <c r="P194" s="1" t="s">
        <v>1270</v>
      </c>
      <c r="Q194" s="1">
        <v>2010</v>
      </c>
      <c r="R194" s="1" t="s">
        <v>2200</v>
      </c>
      <c r="S194" s="1" t="s">
        <v>27</v>
      </c>
      <c r="T194" s="6">
        <v>1</v>
      </c>
      <c r="Z194" s="1">
        <v>56.39</v>
      </c>
      <c r="AH194" s="1">
        <v>23.14</v>
      </c>
      <c r="AK194" s="1">
        <v>5.9943302899999997</v>
      </c>
      <c r="AL194" s="1">
        <v>9.6209537320000003</v>
      </c>
      <c r="AM194" s="1">
        <v>5.8313359780000003</v>
      </c>
    </row>
    <row r="195" spans="1:153" x14ac:dyDescent="0.2">
      <c r="A195" s="1" t="s">
        <v>2216</v>
      </c>
      <c r="B195" s="1" t="s">
        <v>55</v>
      </c>
      <c r="C195" s="1" t="s">
        <v>1702</v>
      </c>
      <c r="D195" s="1" t="s">
        <v>2</v>
      </c>
      <c r="E195" s="1">
        <v>23</v>
      </c>
      <c r="F195" s="1" t="s">
        <v>1711</v>
      </c>
      <c r="H195" s="1" t="s">
        <v>2217</v>
      </c>
      <c r="I195" s="1" t="s">
        <v>11</v>
      </c>
      <c r="J195" s="1" t="s">
        <v>1713</v>
      </c>
      <c r="K195" s="1" t="s">
        <v>1714</v>
      </c>
      <c r="L195" s="1" t="s">
        <v>1713</v>
      </c>
      <c r="M195" s="1" t="s">
        <v>2199</v>
      </c>
      <c r="N195" s="1" t="s">
        <v>2218</v>
      </c>
      <c r="P195" s="1" t="s">
        <v>1270</v>
      </c>
      <c r="Q195" s="1">
        <v>2010</v>
      </c>
      <c r="R195" s="1" t="s">
        <v>2200</v>
      </c>
      <c r="S195" s="1" t="s">
        <v>27</v>
      </c>
      <c r="T195" s="6">
        <v>1</v>
      </c>
      <c r="Z195" s="1">
        <v>50.45</v>
      </c>
      <c r="AH195" s="1">
        <v>26.3</v>
      </c>
      <c r="AK195" s="1">
        <v>5.9791899900000001</v>
      </c>
      <c r="AL195" s="1">
        <v>9.8531001099999997</v>
      </c>
      <c r="AM195" s="1">
        <v>8.5626099</v>
      </c>
    </row>
    <row r="196" spans="1:153" x14ac:dyDescent="0.2">
      <c r="A196" s="1" t="s">
        <v>2219</v>
      </c>
      <c r="B196" s="1" t="s">
        <v>55</v>
      </c>
      <c r="C196" s="1" t="s">
        <v>2220</v>
      </c>
      <c r="D196" s="1" t="s">
        <v>2</v>
      </c>
      <c r="E196" s="1">
        <v>31</v>
      </c>
      <c r="F196" s="1" t="s">
        <v>2221</v>
      </c>
      <c r="H196" s="1" t="s">
        <v>2222</v>
      </c>
      <c r="I196" s="1" t="s">
        <v>7</v>
      </c>
      <c r="J196" s="1" t="s">
        <v>2223</v>
      </c>
      <c r="K196" s="1" t="s">
        <v>2224</v>
      </c>
      <c r="L196" s="1" t="s">
        <v>2223</v>
      </c>
      <c r="M196" s="1" t="s">
        <v>2225</v>
      </c>
      <c r="N196" s="1" t="s">
        <v>2226</v>
      </c>
      <c r="O196" s="1">
        <v>36</v>
      </c>
      <c r="P196" s="1" t="s">
        <v>2227</v>
      </c>
      <c r="Q196" s="1">
        <v>2009</v>
      </c>
      <c r="R196" s="1" t="s">
        <v>2228</v>
      </c>
      <c r="S196" s="1" t="s">
        <v>27</v>
      </c>
      <c r="T196" s="6">
        <v>1</v>
      </c>
      <c r="W196" s="1">
        <v>123.8</v>
      </c>
      <c r="Z196" s="1">
        <v>76.400000000000006</v>
      </c>
      <c r="AA196" s="1">
        <v>6.25</v>
      </c>
      <c r="AC196" s="1">
        <v>18.899999999999999</v>
      </c>
      <c r="AI196" s="1">
        <v>3.5</v>
      </c>
      <c r="AK196" s="1">
        <v>0.83370750000000005</v>
      </c>
      <c r="AL196" s="1">
        <v>0.85556500000000002</v>
      </c>
      <c r="AM196" s="1">
        <v>1.4332275000000001</v>
      </c>
      <c r="AV196" s="1">
        <v>1.2</v>
      </c>
      <c r="BA196" s="1" t="s">
        <v>15</v>
      </c>
      <c r="BB196" s="1">
        <v>20</v>
      </c>
      <c r="BD196" s="1">
        <v>0.01</v>
      </c>
      <c r="BF196" s="1">
        <v>0.22</v>
      </c>
      <c r="BK196" s="1">
        <v>0.01</v>
      </c>
      <c r="BO196" s="1">
        <v>10</v>
      </c>
      <c r="BW196" s="1">
        <v>0.19</v>
      </c>
      <c r="CA196" s="1" t="s">
        <v>15</v>
      </c>
      <c r="CC196" s="1">
        <v>10</v>
      </c>
      <c r="EW196" s="1">
        <v>38.799999999999997</v>
      </c>
    </row>
    <row r="197" spans="1:153" x14ac:dyDescent="0.2">
      <c r="A197" s="1" t="s">
        <v>2229</v>
      </c>
      <c r="B197" s="1" t="s">
        <v>55</v>
      </c>
      <c r="C197" s="1" t="s">
        <v>2230</v>
      </c>
      <c r="D197" s="1" t="s">
        <v>2</v>
      </c>
      <c r="E197" s="1">
        <v>33</v>
      </c>
      <c r="F197" s="1" t="s">
        <v>1978</v>
      </c>
      <c r="H197" s="1" t="s">
        <v>2231</v>
      </c>
      <c r="I197" s="1" t="s">
        <v>7</v>
      </c>
      <c r="J197" s="1" t="s">
        <v>1980</v>
      </c>
      <c r="K197" s="1" t="s">
        <v>1981</v>
      </c>
      <c r="L197" s="1" t="s">
        <v>1982</v>
      </c>
      <c r="O197" s="1">
        <v>1</v>
      </c>
      <c r="P197" s="1" t="s">
        <v>2232</v>
      </c>
      <c r="Q197" s="1">
        <v>2006</v>
      </c>
      <c r="R197" s="1" t="s">
        <v>2233</v>
      </c>
      <c r="S197" s="1" t="s">
        <v>27</v>
      </c>
      <c r="T197" s="6">
        <v>1</v>
      </c>
      <c r="Z197" s="1">
        <v>76.52</v>
      </c>
      <c r="AE197" s="1">
        <v>18.596160000000001</v>
      </c>
      <c r="AJ197" s="1">
        <v>2.43018</v>
      </c>
      <c r="DR197" s="1">
        <v>7093.308</v>
      </c>
      <c r="DS197" s="1">
        <v>14883.972</v>
      </c>
      <c r="DT197" s="1">
        <v>7642.74</v>
      </c>
      <c r="DU197" s="1">
        <v>1028.424</v>
      </c>
      <c r="DV197" s="1">
        <v>960.33199999999999</v>
      </c>
      <c r="DX197" s="1">
        <v>1775.088</v>
      </c>
      <c r="DY197" s="1">
        <v>205.6848</v>
      </c>
      <c r="EA197" s="1">
        <v>2402.0039999999999</v>
      </c>
      <c r="EB197" s="1">
        <v>643.35199999999998</v>
      </c>
      <c r="EC197" s="1">
        <v>298.19600000000003</v>
      </c>
      <c r="EF197" s="1">
        <v>589.34799999999996</v>
      </c>
      <c r="EG197" s="1">
        <v>1357.144</v>
      </c>
      <c r="EH197" s="1">
        <v>1427.5840000000001</v>
      </c>
      <c r="EI197" s="1">
        <v>532.99599999999998</v>
      </c>
      <c r="EK197" s="1">
        <v>650.39599999999996</v>
      </c>
      <c r="EL197" s="1">
        <v>333.416</v>
      </c>
      <c r="EM197" s="1">
        <v>678.572</v>
      </c>
      <c r="EO197" s="1">
        <v>767.79600000000005</v>
      </c>
      <c r="EQ197" s="1">
        <v>575.26</v>
      </c>
      <c r="ER197" s="1">
        <v>664.48400000000004</v>
      </c>
    </row>
    <row r="198" spans="1:153" x14ac:dyDescent="0.2">
      <c r="A198" s="1" t="s">
        <v>2234</v>
      </c>
      <c r="B198" s="1" t="s">
        <v>55</v>
      </c>
      <c r="C198" s="1" t="s">
        <v>2230</v>
      </c>
      <c r="D198" s="1" t="s">
        <v>2</v>
      </c>
      <c r="E198" s="1">
        <v>33</v>
      </c>
      <c r="F198" s="1" t="s">
        <v>2235</v>
      </c>
      <c r="H198" s="1" t="s">
        <v>2236</v>
      </c>
      <c r="I198" s="1" t="s">
        <v>7</v>
      </c>
      <c r="J198" s="1" t="s">
        <v>2237</v>
      </c>
      <c r="K198" s="1" t="s">
        <v>2238</v>
      </c>
      <c r="L198" s="1" t="s">
        <v>2237</v>
      </c>
      <c r="O198" s="1">
        <v>1</v>
      </c>
      <c r="P198" s="1" t="s">
        <v>2232</v>
      </c>
      <c r="Q198" s="1">
        <v>2006</v>
      </c>
      <c r="R198" s="1" t="s">
        <v>2233</v>
      </c>
      <c r="S198" s="1" t="s">
        <v>27</v>
      </c>
      <c r="T198" s="6">
        <v>1</v>
      </c>
      <c r="Z198" s="1">
        <v>77.489999999999995</v>
      </c>
      <c r="AE198" s="1">
        <v>19.187524</v>
      </c>
      <c r="AJ198" s="1">
        <v>1.5486880000000001</v>
      </c>
      <c r="DR198" s="1">
        <v>7761.4480000000003</v>
      </c>
      <c r="DS198" s="1">
        <v>15984.351000000001</v>
      </c>
      <c r="DT198" s="1">
        <v>8227.4050000000007</v>
      </c>
      <c r="DU198" s="1">
        <v>1080.48</v>
      </c>
      <c r="DV198" s="1">
        <v>1008.448</v>
      </c>
      <c r="DX198" s="1">
        <v>1899.8440000000001</v>
      </c>
      <c r="DY198" s="1">
        <v>214.29519999999999</v>
      </c>
      <c r="EA198" s="1">
        <v>2584.1480000000001</v>
      </c>
      <c r="EB198" s="1">
        <v>826.11699999999996</v>
      </c>
      <c r="EC198" s="1">
        <v>328.64600000000002</v>
      </c>
      <c r="EF198" s="1">
        <v>641.53499999999997</v>
      </c>
      <c r="EG198" s="1">
        <v>1478.9069999999999</v>
      </c>
      <c r="EH198" s="1">
        <v>1481.1579999999999</v>
      </c>
      <c r="EI198" s="1">
        <v>574.005</v>
      </c>
      <c r="EK198" s="1">
        <v>736.077</v>
      </c>
      <c r="EL198" s="1">
        <v>276.87299999999999</v>
      </c>
      <c r="EM198" s="1">
        <v>733.82600000000002</v>
      </c>
      <c r="EO198" s="1">
        <v>832.87</v>
      </c>
      <c r="EQ198" s="1">
        <v>614.52300000000002</v>
      </c>
      <c r="ER198" s="1">
        <v>675.3</v>
      </c>
    </row>
    <row r="199" spans="1:153" x14ac:dyDescent="0.2">
      <c r="A199" s="1" t="s">
        <v>2239</v>
      </c>
      <c r="B199" s="1" t="s">
        <v>55</v>
      </c>
      <c r="C199" s="1" t="s">
        <v>2230</v>
      </c>
      <c r="D199" s="1" t="s">
        <v>2</v>
      </c>
      <c r="E199" s="1">
        <v>33</v>
      </c>
      <c r="F199" s="1" t="s">
        <v>2240</v>
      </c>
      <c r="H199" s="1" t="s">
        <v>2241</v>
      </c>
      <c r="I199" s="1" t="s">
        <v>7</v>
      </c>
      <c r="J199" s="1" t="s">
        <v>2242</v>
      </c>
      <c r="K199" s="1" t="s">
        <v>2243</v>
      </c>
      <c r="L199" s="1" t="s">
        <v>2244</v>
      </c>
      <c r="O199" s="1">
        <v>1</v>
      </c>
      <c r="P199" s="1" t="s">
        <v>2232</v>
      </c>
      <c r="Q199" s="1">
        <v>2006</v>
      </c>
      <c r="R199" s="1" t="s">
        <v>2233</v>
      </c>
      <c r="S199" s="1" t="s">
        <v>27</v>
      </c>
      <c r="T199" s="6">
        <v>1</v>
      </c>
      <c r="Z199" s="1">
        <v>76.45</v>
      </c>
      <c r="AE199" s="1">
        <v>19.33455</v>
      </c>
      <c r="AJ199" s="1">
        <v>1.6437900000000001</v>
      </c>
      <c r="DR199" s="1">
        <v>7536</v>
      </c>
      <c r="DS199" s="1">
        <v>15519.45</v>
      </c>
      <c r="DT199" s="1">
        <v>7983.45</v>
      </c>
      <c r="DU199" s="1">
        <v>1031.49</v>
      </c>
      <c r="DV199" s="1">
        <v>1043.2650000000001</v>
      </c>
      <c r="DX199" s="1">
        <v>1874.58</v>
      </c>
      <c r="DY199" s="1">
        <v>237.85499999999999</v>
      </c>
      <c r="EA199" s="1">
        <v>2449.1999999999998</v>
      </c>
      <c r="EB199" s="1">
        <v>772.44</v>
      </c>
      <c r="EC199" s="1">
        <v>419.19</v>
      </c>
      <c r="EF199" s="1">
        <v>567.55499999999995</v>
      </c>
      <c r="EG199" s="1">
        <v>1450.68</v>
      </c>
      <c r="EH199" s="1">
        <v>1471.875</v>
      </c>
      <c r="EI199" s="1">
        <v>365.02499999999998</v>
      </c>
      <c r="EK199" s="1">
        <v>770.08500000000004</v>
      </c>
      <c r="EL199" s="1">
        <v>287.31</v>
      </c>
      <c r="EM199" s="1">
        <v>725.34</v>
      </c>
      <c r="EO199" s="1">
        <v>805.41</v>
      </c>
      <c r="EQ199" s="1">
        <v>624.07500000000005</v>
      </c>
      <c r="ER199" s="1">
        <v>647.625</v>
      </c>
    </row>
    <row r="200" spans="1:153" x14ac:dyDescent="0.2">
      <c r="A200" s="1" t="s">
        <v>2245</v>
      </c>
      <c r="B200" s="1" t="s">
        <v>55</v>
      </c>
      <c r="C200" s="1" t="s">
        <v>2230</v>
      </c>
      <c r="D200" s="1" t="s">
        <v>2</v>
      </c>
      <c r="E200" s="1">
        <v>37</v>
      </c>
      <c r="F200" s="1" t="s">
        <v>2246</v>
      </c>
      <c r="H200" s="1" t="s">
        <v>2247</v>
      </c>
      <c r="I200" s="1" t="s">
        <v>7</v>
      </c>
      <c r="J200" s="1" t="s">
        <v>2248</v>
      </c>
      <c r="K200" s="1" t="s">
        <v>2249</v>
      </c>
      <c r="L200" s="1" t="s">
        <v>2248</v>
      </c>
      <c r="O200" s="1">
        <v>1</v>
      </c>
      <c r="P200" s="1" t="s">
        <v>2232</v>
      </c>
      <c r="Q200" s="1">
        <v>2006</v>
      </c>
      <c r="R200" s="1" t="s">
        <v>2233</v>
      </c>
      <c r="S200" s="1" t="s">
        <v>27</v>
      </c>
      <c r="T200" s="6">
        <v>1</v>
      </c>
      <c r="Z200" s="1">
        <v>75.12</v>
      </c>
      <c r="AE200" s="1">
        <v>20.578247999999999</v>
      </c>
      <c r="AJ200" s="1">
        <v>2.1595840000000002</v>
      </c>
      <c r="DR200" s="1">
        <v>8596.0400000000009</v>
      </c>
      <c r="DS200" s="1">
        <v>17488.151999999998</v>
      </c>
      <c r="DT200" s="1">
        <v>8892.1119999999992</v>
      </c>
      <c r="DU200" s="1">
        <v>1186.7760000000001</v>
      </c>
      <c r="DV200" s="1">
        <v>1149.4559999999999</v>
      </c>
      <c r="DX200" s="1">
        <v>2045.136</v>
      </c>
      <c r="DY200" s="1">
        <v>273.68</v>
      </c>
      <c r="EA200" s="1">
        <v>2654.6959999999999</v>
      </c>
      <c r="EB200" s="1">
        <v>940.46400000000006</v>
      </c>
      <c r="EC200" s="1">
        <v>549.84799999999996</v>
      </c>
      <c r="EF200" s="1">
        <v>684.2</v>
      </c>
      <c r="EG200" s="1">
        <v>1569.9280000000001</v>
      </c>
      <c r="EH200" s="1">
        <v>1572.4159999999999</v>
      </c>
      <c r="EI200" s="1">
        <v>492.62400000000002</v>
      </c>
      <c r="EK200" s="1">
        <v>826.01599999999996</v>
      </c>
      <c r="EL200" s="1">
        <v>291.096</v>
      </c>
      <c r="EM200" s="1">
        <v>816.06399999999996</v>
      </c>
      <c r="EO200" s="1">
        <v>910.60799999999995</v>
      </c>
      <c r="EQ200" s="1">
        <v>684.2</v>
      </c>
      <c r="ER200" s="1">
        <v>843.43200000000002</v>
      </c>
    </row>
    <row r="201" spans="1:153" x14ac:dyDescent="0.2">
      <c r="A201" s="1" t="s">
        <v>2250</v>
      </c>
      <c r="B201" s="1" t="s">
        <v>55</v>
      </c>
      <c r="C201" s="1" t="s">
        <v>2230</v>
      </c>
      <c r="D201" s="1" t="s">
        <v>2</v>
      </c>
      <c r="E201" s="1">
        <v>33</v>
      </c>
      <c r="F201" s="1" t="s">
        <v>2251</v>
      </c>
      <c r="H201" s="1" t="s">
        <v>2252</v>
      </c>
      <c r="I201" s="1" t="s">
        <v>7</v>
      </c>
      <c r="J201" s="1" t="s">
        <v>2253</v>
      </c>
      <c r="L201" s="1" t="s">
        <v>2254</v>
      </c>
      <c r="O201" s="1">
        <v>1</v>
      </c>
      <c r="P201" s="1" t="s">
        <v>2232</v>
      </c>
      <c r="Q201" s="1">
        <v>2006</v>
      </c>
      <c r="R201" s="1" t="s">
        <v>2233</v>
      </c>
      <c r="S201" s="1" t="s">
        <v>27</v>
      </c>
      <c r="T201" s="6">
        <v>1</v>
      </c>
      <c r="Z201" s="1">
        <v>77.180000000000007</v>
      </c>
      <c r="AE201" s="1">
        <v>19.031880000000001</v>
      </c>
      <c r="AJ201" s="1">
        <v>1.6476040000000001</v>
      </c>
      <c r="DR201" s="1">
        <v>7649.2640000000001</v>
      </c>
      <c r="DS201" s="1">
        <v>16083.536</v>
      </c>
      <c r="DT201" s="1">
        <v>8438.8359999999993</v>
      </c>
      <c r="DU201" s="1">
        <v>1083.95</v>
      </c>
      <c r="DV201" s="1">
        <v>985.82399999999996</v>
      </c>
      <c r="DX201" s="1">
        <v>1932.854</v>
      </c>
      <c r="DY201" s="1">
        <v>237.328</v>
      </c>
      <c r="EA201" s="1">
        <v>2622.018</v>
      </c>
      <c r="EB201" s="1">
        <v>869.44200000000001</v>
      </c>
      <c r="EC201" s="1">
        <v>399.35</v>
      </c>
      <c r="EF201" s="1">
        <v>588.75599999999997</v>
      </c>
      <c r="EG201" s="1">
        <v>1478.7360000000001</v>
      </c>
      <c r="EH201" s="1">
        <v>1460.48</v>
      </c>
      <c r="EI201" s="1">
        <v>527.14200000000005</v>
      </c>
      <c r="EK201" s="1">
        <v>750.77800000000002</v>
      </c>
      <c r="EL201" s="1">
        <v>358.274</v>
      </c>
      <c r="EM201" s="1">
        <v>743.93200000000002</v>
      </c>
      <c r="EO201" s="1">
        <v>780.44399999999996</v>
      </c>
      <c r="EQ201" s="1">
        <v>591.03800000000001</v>
      </c>
      <c r="ER201" s="1">
        <v>670.90800000000002</v>
      </c>
    </row>
    <row r="202" spans="1:153" x14ac:dyDescent="0.2">
      <c r="A202" s="1" t="s">
        <v>2255</v>
      </c>
      <c r="B202" s="1" t="s">
        <v>55</v>
      </c>
      <c r="C202" s="1" t="s">
        <v>2256</v>
      </c>
      <c r="D202" s="1" t="s">
        <v>2</v>
      </c>
      <c r="E202" s="1">
        <v>36</v>
      </c>
      <c r="F202" s="1" t="s">
        <v>1815</v>
      </c>
      <c r="H202" s="1" t="s">
        <v>2257</v>
      </c>
      <c r="I202" s="1" t="s">
        <v>7</v>
      </c>
      <c r="J202" s="1" t="s">
        <v>1817</v>
      </c>
      <c r="K202" s="1" t="s">
        <v>1818</v>
      </c>
      <c r="L202" s="1" t="s">
        <v>1817</v>
      </c>
      <c r="M202" s="1" t="s">
        <v>2258</v>
      </c>
      <c r="O202" s="1">
        <v>1</v>
      </c>
      <c r="Q202" s="1">
        <v>2009</v>
      </c>
      <c r="R202" s="1" t="s">
        <v>2259</v>
      </c>
      <c r="S202" s="1" t="s">
        <v>27</v>
      </c>
      <c r="T202" s="6">
        <v>1</v>
      </c>
      <c r="Z202" s="1" t="s">
        <v>2260</v>
      </c>
      <c r="AA202" s="1">
        <v>6.25</v>
      </c>
      <c r="AC202" s="1" t="s">
        <v>2261</v>
      </c>
      <c r="AI202" s="1" t="s">
        <v>2262</v>
      </c>
      <c r="AV202" s="1" t="s">
        <v>2263</v>
      </c>
    </row>
    <row r="203" spans="1:153" x14ac:dyDescent="0.2">
      <c r="A203" s="1" t="s">
        <v>2264</v>
      </c>
      <c r="B203" s="1" t="s">
        <v>55</v>
      </c>
      <c r="C203" s="1" t="s">
        <v>2256</v>
      </c>
      <c r="D203" s="1" t="s">
        <v>2</v>
      </c>
      <c r="E203" s="1">
        <v>36</v>
      </c>
      <c r="F203" s="1" t="s">
        <v>1815</v>
      </c>
      <c r="H203" s="1" t="s">
        <v>2257</v>
      </c>
      <c r="I203" s="1" t="s">
        <v>7</v>
      </c>
      <c r="J203" s="1" t="s">
        <v>1817</v>
      </c>
      <c r="K203" s="1" t="s">
        <v>1818</v>
      </c>
      <c r="L203" s="1" t="s">
        <v>1817</v>
      </c>
      <c r="M203" s="1" t="s">
        <v>2265</v>
      </c>
      <c r="O203" s="1">
        <v>1</v>
      </c>
      <c r="Q203" s="1">
        <v>2009</v>
      </c>
      <c r="R203" s="1" t="s">
        <v>2259</v>
      </c>
      <c r="S203" s="1" t="s">
        <v>27</v>
      </c>
      <c r="T203" s="6">
        <v>1</v>
      </c>
      <c r="Z203" s="1" t="s">
        <v>2266</v>
      </c>
      <c r="AA203" s="1">
        <v>6.25</v>
      </c>
      <c r="AC203" s="1" t="s">
        <v>2267</v>
      </c>
      <c r="AI203" s="1" t="s">
        <v>2268</v>
      </c>
      <c r="AV203" s="1" t="s">
        <v>2269</v>
      </c>
    </row>
    <row r="204" spans="1:153" x14ac:dyDescent="0.2">
      <c r="A204" s="1" t="s">
        <v>2270</v>
      </c>
      <c r="B204" s="1" t="s">
        <v>55</v>
      </c>
      <c r="C204" s="1" t="s">
        <v>2256</v>
      </c>
      <c r="D204" s="1" t="s">
        <v>2</v>
      </c>
      <c r="E204" s="1">
        <v>36</v>
      </c>
      <c r="F204" s="1" t="s">
        <v>1815</v>
      </c>
      <c r="H204" s="1" t="s">
        <v>2257</v>
      </c>
      <c r="I204" s="1" t="s">
        <v>7</v>
      </c>
      <c r="J204" s="1" t="s">
        <v>1817</v>
      </c>
      <c r="K204" s="1" t="s">
        <v>1818</v>
      </c>
      <c r="L204" s="1" t="s">
        <v>1817</v>
      </c>
      <c r="M204" s="1" t="s">
        <v>2271</v>
      </c>
      <c r="O204" s="1">
        <v>1</v>
      </c>
      <c r="Q204" s="1">
        <v>2009</v>
      </c>
      <c r="R204" s="1" t="s">
        <v>2259</v>
      </c>
      <c r="S204" s="1" t="s">
        <v>27</v>
      </c>
      <c r="T204" s="6">
        <v>1</v>
      </c>
      <c r="Z204" s="1">
        <v>60</v>
      </c>
      <c r="AA204" s="1">
        <v>6.25</v>
      </c>
      <c r="AC204" s="1">
        <v>22.19</v>
      </c>
      <c r="AI204" s="1">
        <v>16.55</v>
      </c>
      <c r="AV204" s="1">
        <v>0.81</v>
      </c>
    </row>
    <row r="205" spans="1:153" x14ac:dyDescent="0.2">
      <c r="A205" s="1" t="s">
        <v>2272</v>
      </c>
      <c r="B205" s="1" t="s">
        <v>55</v>
      </c>
      <c r="C205" s="1" t="s">
        <v>2273</v>
      </c>
      <c r="E205" s="1">
        <v>31</v>
      </c>
      <c r="F205" s="1" t="s">
        <v>1805</v>
      </c>
      <c r="H205" s="1" t="s">
        <v>2274</v>
      </c>
      <c r="I205" s="1" t="s">
        <v>7</v>
      </c>
      <c r="J205" s="1" t="s">
        <v>1807</v>
      </c>
      <c r="K205" s="1" t="s">
        <v>1808</v>
      </c>
      <c r="L205" s="1" t="s">
        <v>1807</v>
      </c>
      <c r="M205" s="1" t="s">
        <v>2275</v>
      </c>
      <c r="O205" s="1">
        <v>1</v>
      </c>
      <c r="Q205" s="1">
        <v>2010</v>
      </c>
      <c r="R205" s="1" t="s">
        <v>2276</v>
      </c>
      <c r="S205" s="1" t="s">
        <v>27</v>
      </c>
      <c r="T205" s="6">
        <v>1</v>
      </c>
      <c r="Z205" s="1">
        <v>77.180000000000007</v>
      </c>
      <c r="AA205" s="1">
        <v>6.25</v>
      </c>
      <c r="AC205" s="1">
        <v>17.95</v>
      </c>
      <c r="AH205" s="1">
        <v>1.18</v>
      </c>
      <c r="AV205" s="1">
        <v>2.82</v>
      </c>
      <c r="AY205" s="1">
        <v>62.598799999999997</v>
      </c>
      <c r="BA205" s="1">
        <v>14.4</v>
      </c>
      <c r="BB205" s="1">
        <v>132.80000000000001</v>
      </c>
      <c r="BD205" s="1">
        <v>0.112</v>
      </c>
      <c r="BF205" s="1">
        <v>7.2671000000000001</v>
      </c>
      <c r="BG205" s="1">
        <v>40.700000000000003</v>
      </c>
      <c r="BH205" s="1">
        <v>469.86660000000001</v>
      </c>
      <c r="BJ205" s="1">
        <v>59.760800000000003</v>
      </c>
      <c r="BK205" s="1">
        <v>0.16569999999999999</v>
      </c>
      <c r="BM205" s="1">
        <v>68.495400000000004</v>
      </c>
      <c r="BO205" s="1">
        <v>63.8</v>
      </c>
      <c r="BP205" s="1">
        <v>471.04070000000002</v>
      </c>
      <c r="BS205" s="1">
        <v>64.099999999999994</v>
      </c>
      <c r="BW205" s="1">
        <v>1.1391</v>
      </c>
      <c r="BX205" s="1">
        <v>697.7</v>
      </c>
      <c r="BY205" s="1">
        <v>40</v>
      </c>
      <c r="CA205" s="1">
        <v>7.9</v>
      </c>
      <c r="CB205" s="1">
        <v>34.4</v>
      </c>
      <c r="CC205" s="1">
        <v>28.8</v>
      </c>
      <c r="CD205" s="1">
        <v>2.5</v>
      </c>
    </row>
    <row r="206" spans="1:153" x14ac:dyDescent="0.2">
      <c r="A206" s="1" t="s">
        <v>2277</v>
      </c>
      <c r="B206" s="1" t="s">
        <v>55</v>
      </c>
      <c r="C206" s="1" t="s">
        <v>2273</v>
      </c>
      <c r="E206" s="1">
        <v>31</v>
      </c>
      <c r="F206" s="1" t="s">
        <v>1805</v>
      </c>
      <c r="H206" s="1" t="s">
        <v>2274</v>
      </c>
      <c r="I206" s="1" t="s">
        <v>7</v>
      </c>
      <c r="J206" s="1" t="s">
        <v>1807</v>
      </c>
      <c r="K206" s="1" t="s">
        <v>1808</v>
      </c>
      <c r="L206" s="1" t="s">
        <v>1807</v>
      </c>
      <c r="M206" s="1" t="s">
        <v>2278</v>
      </c>
      <c r="O206" s="1">
        <v>1</v>
      </c>
      <c r="Q206" s="1">
        <v>2010</v>
      </c>
      <c r="R206" s="1" t="s">
        <v>2276</v>
      </c>
      <c r="S206" s="1" t="s">
        <v>27</v>
      </c>
      <c r="T206" s="6">
        <v>1</v>
      </c>
      <c r="Z206" s="1">
        <v>77.28</v>
      </c>
      <c r="AA206" s="1">
        <v>6.25</v>
      </c>
      <c r="AC206" s="1">
        <v>18.36</v>
      </c>
      <c r="AH206" s="1">
        <v>1.62</v>
      </c>
      <c r="AV206" s="1">
        <v>2.56</v>
      </c>
      <c r="AY206" s="1">
        <v>70.469399999999993</v>
      </c>
      <c r="BA206" s="1">
        <v>15</v>
      </c>
      <c r="BB206" s="1">
        <v>120.2</v>
      </c>
      <c r="BD206" s="1">
        <v>0.1027</v>
      </c>
      <c r="BF206" s="1">
        <v>6.0641999999999996</v>
      </c>
      <c r="BG206" s="1">
        <v>38.4</v>
      </c>
      <c r="BH206" s="1">
        <v>313.54730000000001</v>
      </c>
      <c r="BJ206" s="1">
        <v>47.950099999999999</v>
      </c>
      <c r="BK206" s="1">
        <v>0.4587</v>
      </c>
      <c r="BM206" s="1">
        <v>71.994399999999999</v>
      </c>
      <c r="BO206" s="1">
        <v>103.4</v>
      </c>
      <c r="BP206" s="1">
        <v>598.18730000000005</v>
      </c>
      <c r="BS206" s="1">
        <v>54.5</v>
      </c>
      <c r="BW206" s="1">
        <v>1.4187000000000001</v>
      </c>
      <c r="BX206" s="1">
        <v>2138</v>
      </c>
      <c r="BY206" s="1">
        <v>28</v>
      </c>
      <c r="CA206" s="1">
        <v>3.1</v>
      </c>
      <c r="CB206" s="1">
        <v>43.5</v>
      </c>
      <c r="CC206" s="1">
        <v>26.9</v>
      </c>
      <c r="CD206" s="1">
        <v>8</v>
      </c>
    </row>
    <row r="207" spans="1:153" x14ac:dyDescent="0.2">
      <c r="A207" s="1" t="s">
        <v>2279</v>
      </c>
      <c r="B207" s="1" t="s">
        <v>55</v>
      </c>
      <c r="C207" s="1" t="s">
        <v>2273</v>
      </c>
      <c r="E207" s="1">
        <v>31</v>
      </c>
      <c r="F207" s="1" t="s">
        <v>1805</v>
      </c>
      <c r="H207" s="1" t="s">
        <v>2274</v>
      </c>
      <c r="I207" s="1" t="s">
        <v>7</v>
      </c>
      <c r="J207" s="1" t="s">
        <v>1807</v>
      </c>
      <c r="K207" s="1" t="s">
        <v>1808</v>
      </c>
      <c r="L207" s="1" t="s">
        <v>1807</v>
      </c>
      <c r="M207" s="1" t="s">
        <v>2280</v>
      </c>
      <c r="O207" s="1">
        <v>1</v>
      </c>
      <c r="Q207" s="1">
        <v>2010</v>
      </c>
      <c r="R207" s="1" t="s">
        <v>2276</v>
      </c>
      <c r="S207" s="1" t="s">
        <v>27</v>
      </c>
      <c r="T207" s="6">
        <v>1</v>
      </c>
      <c r="Z207" s="1">
        <v>74.760000000000005</v>
      </c>
      <c r="AA207" s="1">
        <v>6.25</v>
      </c>
      <c r="AC207" s="1">
        <v>20.2</v>
      </c>
      <c r="AH207" s="1">
        <v>1.88</v>
      </c>
      <c r="AV207" s="1">
        <v>2.99</v>
      </c>
      <c r="AY207" s="1">
        <v>78.726299999999995</v>
      </c>
      <c r="BA207" s="1">
        <v>7.6</v>
      </c>
      <c r="BB207" s="1">
        <v>105.5</v>
      </c>
      <c r="BD207" s="1">
        <v>5.3900000000000003E-2</v>
      </c>
      <c r="BF207" s="1">
        <v>5.8136000000000001</v>
      </c>
      <c r="BG207" s="1">
        <v>37.9</v>
      </c>
      <c r="BH207" s="1">
        <v>383.78050000000002</v>
      </c>
      <c r="BJ207" s="1">
        <v>55.473999999999997</v>
      </c>
      <c r="BK207" s="1">
        <v>0.29609999999999997</v>
      </c>
      <c r="BM207" s="1">
        <v>128.91030000000001</v>
      </c>
      <c r="BO207" s="1">
        <v>51.3</v>
      </c>
      <c r="BP207" s="1">
        <v>599.67219999999998</v>
      </c>
      <c r="BS207" s="1">
        <v>30.7</v>
      </c>
      <c r="BW207" s="1">
        <v>1.4496</v>
      </c>
      <c r="BX207" s="1">
        <v>853.5</v>
      </c>
      <c r="BY207" s="1">
        <v>30</v>
      </c>
      <c r="CA207" s="1">
        <v>0.2</v>
      </c>
      <c r="CB207" s="1">
        <v>42</v>
      </c>
      <c r="CC207" s="1">
        <v>47.5</v>
      </c>
      <c r="CD207" s="1">
        <v>1.6</v>
      </c>
    </row>
    <row r="208" spans="1:153" x14ac:dyDescent="0.2">
      <c r="A208" s="1" t="s">
        <v>2281</v>
      </c>
      <c r="B208" s="1" t="s">
        <v>55</v>
      </c>
      <c r="C208" s="1" t="s">
        <v>2273</v>
      </c>
      <c r="E208" s="1">
        <v>31</v>
      </c>
      <c r="F208" s="1" t="s">
        <v>1805</v>
      </c>
      <c r="H208" s="1" t="s">
        <v>2274</v>
      </c>
      <c r="I208" s="1" t="s">
        <v>7</v>
      </c>
      <c r="J208" s="1" t="s">
        <v>1807</v>
      </c>
      <c r="K208" s="1" t="s">
        <v>1808</v>
      </c>
      <c r="L208" s="1" t="s">
        <v>1807</v>
      </c>
      <c r="M208" s="1" t="s">
        <v>2282</v>
      </c>
      <c r="O208" s="1">
        <v>1</v>
      </c>
      <c r="Q208" s="1">
        <v>2010</v>
      </c>
      <c r="R208" s="1" t="s">
        <v>2276</v>
      </c>
      <c r="S208" s="1" t="s">
        <v>27</v>
      </c>
      <c r="T208" s="6">
        <v>1</v>
      </c>
      <c r="Z208" s="1">
        <v>77.8</v>
      </c>
      <c r="AA208" s="1">
        <v>6.25</v>
      </c>
      <c r="AC208" s="1">
        <v>17.25</v>
      </c>
      <c r="AH208" s="1">
        <v>1.61</v>
      </c>
      <c r="AV208" s="1">
        <v>2.65</v>
      </c>
      <c r="AY208" s="1">
        <v>44.205199999999998</v>
      </c>
      <c r="BA208" s="1">
        <v>33.6</v>
      </c>
      <c r="BB208" s="1">
        <v>160.4</v>
      </c>
      <c r="BD208" s="1">
        <v>0.156</v>
      </c>
      <c r="BF208" s="1">
        <v>15.236000000000001</v>
      </c>
      <c r="BG208" s="1">
        <v>69.3</v>
      </c>
      <c r="BH208" s="1">
        <v>425.66660000000002</v>
      </c>
      <c r="BJ208" s="1">
        <v>48.830300000000001</v>
      </c>
      <c r="BK208" s="1">
        <v>0.14749999999999999</v>
      </c>
      <c r="BM208" s="1">
        <v>107.3629</v>
      </c>
      <c r="BO208" s="1">
        <v>94.8</v>
      </c>
      <c r="BP208" s="1">
        <v>458.43920000000003</v>
      </c>
      <c r="BS208" s="1">
        <v>37.1</v>
      </c>
      <c r="BW208" s="1">
        <v>3.5634999999999999</v>
      </c>
      <c r="BX208" s="1">
        <v>3870.7</v>
      </c>
      <c r="BY208" s="1">
        <v>35.299999999999997</v>
      </c>
      <c r="CA208" s="1">
        <v>1.5</v>
      </c>
      <c r="CB208" s="1">
        <v>103.8</v>
      </c>
      <c r="CC208" s="1">
        <v>53.1</v>
      </c>
      <c r="CD208" s="1">
        <v>4.5</v>
      </c>
    </row>
    <row r="209" spans="1:148" x14ac:dyDescent="0.2">
      <c r="A209" s="1" t="s">
        <v>2283</v>
      </c>
      <c r="B209" s="1" t="s">
        <v>55</v>
      </c>
      <c r="C209" s="1" t="s">
        <v>2273</v>
      </c>
      <c r="E209" s="1">
        <v>33</v>
      </c>
      <c r="F209" s="1" t="s">
        <v>2284</v>
      </c>
      <c r="H209" s="1" t="s">
        <v>2285</v>
      </c>
      <c r="I209" s="1" t="s">
        <v>7</v>
      </c>
      <c r="J209" s="1" t="s">
        <v>2286</v>
      </c>
      <c r="K209" s="1" t="s">
        <v>2287</v>
      </c>
      <c r="L209" s="1" t="s">
        <v>2286</v>
      </c>
      <c r="M209" s="1" t="s">
        <v>2275</v>
      </c>
      <c r="O209" s="1">
        <v>1</v>
      </c>
      <c r="Q209" s="1">
        <v>2010</v>
      </c>
      <c r="R209" s="1" t="s">
        <v>2276</v>
      </c>
      <c r="S209" s="1" t="s">
        <v>27</v>
      </c>
      <c r="T209" s="6">
        <v>1</v>
      </c>
      <c r="Z209" s="1">
        <v>64.91</v>
      </c>
      <c r="AA209" s="1">
        <v>6.25</v>
      </c>
      <c r="AC209" s="1">
        <v>15.16</v>
      </c>
      <c r="AH209" s="1">
        <v>17.37</v>
      </c>
      <c r="AV209" s="1">
        <v>1.78</v>
      </c>
      <c r="AY209" s="1">
        <v>51.882199999999997</v>
      </c>
      <c r="BA209" s="1">
        <v>22.2</v>
      </c>
      <c r="BB209" s="1">
        <v>255.4</v>
      </c>
      <c r="BD209" s="1">
        <v>0.1278</v>
      </c>
      <c r="BF209" s="1">
        <v>9.4846000000000004</v>
      </c>
      <c r="BG209" s="1">
        <v>29.7</v>
      </c>
      <c r="BH209" s="1">
        <v>368.90960000000001</v>
      </c>
      <c r="BJ209" s="1">
        <v>48.555999999999997</v>
      </c>
      <c r="BK209" s="1">
        <v>0.15909999999999999</v>
      </c>
      <c r="BM209" s="1">
        <v>80.163499999999999</v>
      </c>
      <c r="BO209" s="1">
        <v>92.1</v>
      </c>
      <c r="BP209" s="1">
        <v>445.14229999999998</v>
      </c>
      <c r="BS209" s="1">
        <v>40.6</v>
      </c>
      <c r="BW209" s="1">
        <v>1.4933000000000001</v>
      </c>
      <c r="BX209" s="1">
        <v>2435.6999999999998</v>
      </c>
      <c r="BY209" s="1">
        <v>96.6</v>
      </c>
      <c r="CA209" s="1">
        <v>8.6</v>
      </c>
      <c r="CB209" s="1">
        <v>32.9</v>
      </c>
      <c r="CC209" s="1">
        <v>22.9</v>
      </c>
      <c r="CD209" s="1">
        <v>2</v>
      </c>
    </row>
    <row r="210" spans="1:148" x14ac:dyDescent="0.2">
      <c r="A210" s="1" t="s">
        <v>2288</v>
      </c>
      <c r="B210" s="1" t="s">
        <v>55</v>
      </c>
      <c r="C210" s="1" t="s">
        <v>2273</v>
      </c>
      <c r="E210" s="1">
        <v>33</v>
      </c>
      <c r="F210" s="1" t="s">
        <v>2284</v>
      </c>
      <c r="H210" s="1" t="s">
        <v>2285</v>
      </c>
      <c r="I210" s="1" t="s">
        <v>7</v>
      </c>
      <c r="J210" s="1" t="s">
        <v>2286</v>
      </c>
      <c r="K210" s="1" t="s">
        <v>2287</v>
      </c>
      <c r="L210" s="1" t="s">
        <v>2286</v>
      </c>
      <c r="M210" s="1" t="s">
        <v>2278</v>
      </c>
      <c r="O210" s="1">
        <v>1</v>
      </c>
      <c r="Q210" s="1">
        <v>2010</v>
      </c>
      <c r="R210" s="1" t="s">
        <v>2276</v>
      </c>
      <c r="S210" s="1" t="s">
        <v>27</v>
      </c>
      <c r="T210" s="6">
        <v>1</v>
      </c>
      <c r="Z210" s="1">
        <v>70.88</v>
      </c>
      <c r="AA210" s="1">
        <v>6.25</v>
      </c>
      <c r="AC210" s="1">
        <v>17.45</v>
      </c>
      <c r="AH210" s="1">
        <v>9.7100000000000009</v>
      </c>
      <c r="AV210" s="1">
        <v>1.77</v>
      </c>
      <c r="AY210" s="1">
        <v>62.513500000000001</v>
      </c>
      <c r="BA210" s="1">
        <v>11.4</v>
      </c>
      <c r="BB210" s="1">
        <v>179.7</v>
      </c>
      <c r="BD210" s="1">
        <v>9.35E-2</v>
      </c>
      <c r="BF210" s="1">
        <v>5.8733000000000004</v>
      </c>
      <c r="BG210" s="1">
        <v>22.3</v>
      </c>
      <c r="BH210" s="1">
        <v>396.3963</v>
      </c>
      <c r="BJ210" s="1">
        <v>39.9467</v>
      </c>
      <c r="BK210" s="1">
        <v>0.155</v>
      </c>
      <c r="BM210" s="1">
        <v>88.529300000000006</v>
      </c>
      <c r="BO210" s="1">
        <v>51.7</v>
      </c>
      <c r="BP210" s="1">
        <v>416.93759999999997</v>
      </c>
      <c r="BS210" s="1">
        <v>40.299999999999997</v>
      </c>
      <c r="BW210" s="1">
        <v>1.1738999999999999</v>
      </c>
      <c r="BX210" s="1">
        <v>916.8</v>
      </c>
      <c r="BY210" s="1">
        <v>45.1</v>
      </c>
      <c r="CA210" s="1">
        <v>9.4</v>
      </c>
      <c r="CB210" s="1">
        <v>36.1</v>
      </c>
      <c r="CC210" s="1">
        <v>5.8</v>
      </c>
      <c r="CD210" s="1">
        <v>5.6</v>
      </c>
    </row>
    <row r="211" spans="1:148" x14ac:dyDescent="0.2">
      <c r="A211" s="1" t="s">
        <v>2289</v>
      </c>
      <c r="B211" s="1" t="s">
        <v>55</v>
      </c>
      <c r="C211" s="1" t="s">
        <v>2273</v>
      </c>
      <c r="E211" s="1">
        <v>33</v>
      </c>
      <c r="F211" s="1" t="s">
        <v>2284</v>
      </c>
      <c r="H211" s="1" t="s">
        <v>2285</v>
      </c>
      <c r="I211" s="1" t="s">
        <v>7</v>
      </c>
      <c r="J211" s="1" t="s">
        <v>2286</v>
      </c>
      <c r="K211" s="1" t="s">
        <v>2287</v>
      </c>
      <c r="L211" s="1" t="s">
        <v>2286</v>
      </c>
      <c r="M211" s="1" t="s">
        <v>2280</v>
      </c>
      <c r="O211" s="1">
        <v>1</v>
      </c>
      <c r="Q211" s="1">
        <v>2010</v>
      </c>
      <c r="R211" s="1" t="s">
        <v>2276</v>
      </c>
      <c r="S211" s="1" t="s">
        <v>27</v>
      </c>
      <c r="T211" s="6">
        <v>1</v>
      </c>
      <c r="Z211" s="1">
        <v>76.25</v>
      </c>
      <c r="AA211" s="1">
        <v>6.25</v>
      </c>
      <c r="AC211" s="1">
        <v>18.89</v>
      </c>
      <c r="AH211" s="1">
        <v>2.06</v>
      </c>
      <c r="AV211" s="1">
        <v>2.06</v>
      </c>
      <c r="AY211" s="1">
        <v>52.902200000000001</v>
      </c>
      <c r="BA211" s="1">
        <v>3.3</v>
      </c>
      <c r="BB211" s="1">
        <v>59.2</v>
      </c>
      <c r="BD211" s="1">
        <v>5.6800000000000003E-2</v>
      </c>
      <c r="BF211" s="1">
        <v>1.8889</v>
      </c>
      <c r="BG211" s="1">
        <v>36.799999999999997</v>
      </c>
      <c r="BH211" s="1">
        <v>487.0514</v>
      </c>
      <c r="BJ211" s="1">
        <v>53.868299999999998</v>
      </c>
      <c r="BK211" s="1">
        <v>6.2E-2</v>
      </c>
      <c r="BM211" s="1">
        <v>94.079400000000007</v>
      </c>
      <c r="BO211" s="1">
        <v>20.3</v>
      </c>
      <c r="BP211" s="1">
        <v>528.3569</v>
      </c>
      <c r="BS211" s="1">
        <v>23</v>
      </c>
      <c r="BW211" s="1">
        <v>1.1904999999999999</v>
      </c>
      <c r="BX211" s="1">
        <v>2831.7</v>
      </c>
      <c r="BY211" s="1">
        <v>17.399999999999999</v>
      </c>
      <c r="CA211" s="1">
        <v>0.5</v>
      </c>
      <c r="CB211" s="1">
        <v>66.2</v>
      </c>
      <c r="CC211" s="1">
        <v>6.5</v>
      </c>
      <c r="CD211" s="1">
        <v>0.8</v>
      </c>
    </row>
    <row r="212" spans="1:148" x14ac:dyDescent="0.2">
      <c r="A212" s="1" t="s">
        <v>2290</v>
      </c>
      <c r="B212" s="1" t="s">
        <v>55</v>
      </c>
      <c r="C212" s="1" t="s">
        <v>2273</v>
      </c>
      <c r="E212" s="1">
        <v>33</v>
      </c>
      <c r="F212" s="1" t="s">
        <v>2284</v>
      </c>
      <c r="H212" s="1" t="s">
        <v>2285</v>
      </c>
      <c r="I212" s="1" t="s">
        <v>7</v>
      </c>
      <c r="J212" s="1" t="s">
        <v>2286</v>
      </c>
      <c r="K212" s="1" t="s">
        <v>2287</v>
      </c>
      <c r="L212" s="1" t="s">
        <v>2286</v>
      </c>
      <c r="M212" s="1" t="s">
        <v>2282</v>
      </c>
      <c r="O212" s="1">
        <v>1</v>
      </c>
      <c r="Q212" s="1">
        <v>2010</v>
      </c>
      <c r="R212" s="1" t="s">
        <v>2276</v>
      </c>
      <c r="S212" s="1" t="s">
        <v>27</v>
      </c>
      <c r="T212" s="6">
        <v>1</v>
      </c>
      <c r="Z212" s="1">
        <v>67.02</v>
      </c>
      <c r="AA212" s="1">
        <v>6.25</v>
      </c>
      <c r="AC212" s="1">
        <v>16.61</v>
      </c>
      <c r="AH212" s="1">
        <v>12.28</v>
      </c>
      <c r="AV212" s="1">
        <v>2.5099999999999998</v>
      </c>
      <c r="AY212" s="1">
        <v>60.449599999999997</v>
      </c>
      <c r="BA212" s="1">
        <v>30.7</v>
      </c>
      <c r="BB212" s="1">
        <v>239.3</v>
      </c>
      <c r="BD212" s="1">
        <v>0.1041</v>
      </c>
      <c r="BF212" s="1">
        <v>12.5783</v>
      </c>
      <c r="BG212" s="1">
        <v>55.1</v>
      </c>
      <c r="BH212" s="1">
        <v>408.45580000000001</v>
      </c>
      <c r="BJ212" s="1">
        <v>44.493899999999996</v>
      </c>
      <c r="BK212" s="1">
        <v>0.14630000000000001</v>
      </c>
      <c r="BM212" s="1">
        <v>95.602500000000006</v>
      </c>
      <c r="BO212" s="1">
        <v>63.4</v>
      </c>
      <c r="BP212" s="1">
        <v>576.03989999999999</v>
      </c>
      <c r="BS212" s="1">
        <v>22</v>
      </c>
      <c r="BW212" s="1">
        <v>3.0926999999999998</v>
      </c>
      <c r="BX212" s="1">
        <v>2633.6</v>
      </c>
      <c r="BY212" s="1">
        <v>16.399999999999999</v>
      </c>
      <c r="CA212" s="1">
        <v>1.5</v>
      </c>
      <c r="CB212" s="1">
        <v>38.5</v>
      </c>
      <c r="CC212" s="1">
        <v>26.5</v>
      </c>
      <c r="CD212" s="1">
        <v>3.7</v>
      </c>
    </row>
    <row r="213" spans="1:148" x14ac:dyDescent="0.2">
      <c r="A213" s="1" t="s">
        <v>2291</v>
      </c>
      <c r="B213" s="1" t="s">
        <v>55</v>
      </c>
      <c r="C213" s="1" t="s">
        <v>2273</v>
      </c>
      <c r="E213" s="1">
        <v>32</v>
      </c>
      <c r="F213" s="1" t="s">
        <v>1596</v>
      </c>
      <c r="H213" s="1" t="s">
        <v>2292</v>
      </c>
      <c r="I213" s="1" t="s">
        <v>7</v>
      </c>
      <c r="J213" s="1" t="s">
        <v>1598</v>
      </c>
      <c r="K213" s="1" t="s">
        <v>1599</v>
      </c>
      <c r="L213" s="1" t="s">
        <v>1598</v>
      </c>
      <c r="M213" s="1" t="s">
        <v>2275</v>
      </c>
      <c r="O213" s="1">
        <v>1</v>
      </c>
      <c r="Q213" s="1">
        <v>2010</v>
      </c>
      <c r="R213" s="1" t="s">
        <v>2276</v>
      </c>
      <c r="S213" s="1" t="s">
        <v>27</v>
      </c>
      <c r="T213" s="6">
        <v>1</v>
      </c>
      <c r="Z213" s="1">
        <v>82.93</v>
      </c>
      <c r="AA213" s="1">
        <v>6.25</v>
      </c>
      <c r="AC213" s="1">
        <v>13.43</v>
      </c>
      <c r="AH213" s="1">
        <v>1.34</v>
      </c>
      <c r="AV213" s="1">
        <v>1.53</v>
      </c>
      <c r="AY213" s="1">
        <v>73.571299999999994</v>
      </c>
      <c r="BA213" s="1">
        <v>9.1999999999999993</v>
      </c>
      <c r="BB213" s="1">
        <v>132.9</v>
      </c>
      <c r="BD213" s="1">
        <v>0.2248</v>
      </c>
      <c r="BF213" s="1">
        <v>7.6566999999999998</v>
      </c>
      <c r="BG213" s="1">
        <v>41.8</v>
      </c>
      <c r="BH213" s="1">
        <v>444.27670000000001</v>
      </c>
      <c r="BJ213" s="1">
        <v>48.871200000000002</v>
      </c>
      <c r="BK213" s="1">
        <v>0.14219999999999999</v>
      </c>
      <c r="BM213" s="1">
        <v>133.4485</v>
      </c>
      <c r="BO213" s="1">
        <v>112.3</v>
      </c>
      <c r="BP213" s="1">
        <v>296.11680000000001</v>
      </c>
      <c r="BS213" s="1">
        <v>47.8</v>
      </c>
      <c r="BW213" s="1">
        <v>1.2857000000000001</v>
      </c>
      <c r="BX213" s="1">
        <v>1186.0999999999999</v>
      </c>
      <c r="BY213" s="1">
        <v>33.5</v>
      </c>
      <c r="CA213" s="1">
        <v>5.4</v>
      </c>
      <c r="CB213" s="1">
        <v>14.6</v>
      </c>
      <c r="CC213" s="1">
        <v>60.1</v>
      </c>
      <c r="CD213" s="1">
        <v>3.8</v>
      </c>
    </row>
    <row r="214" spans="1:148" x14ac:dyDescent="0.2">
      <c r="A214" s="1" t="s">
        <v>2293</v>
      </c>
      <c r="B214" s="1" t="s">
        <v>55</v>
      </c>
      <c r="C214" s="1" t="s">
        <v>2273</v>
      </c>
      <c r="E214" s="1">
        <v>32</v>
      </c>
      <c r="F214" s="1" t="s">
        <v>1596</v>
      </c>
      <c r="H214" s="1" t="s">
        <v>2292</v>
      </c>
      <c r="I214" s="1" t="s">
        <v>7</v>
      </c>
      <c r="J214" s="1" t="s">
        <v>1598</v>
      </c>
      <c r="K214" s="1" t="s">
        <v>1599</v>
      </c>
      <c r="L214" s="1" t="s">
        <v>1598</v>
      </c>
      <c r="M214" s="1" t="s">
        <v>2278</v>
      </c>
      <c r="O214" s="1">
        <v>1</v>
      </c>
      <c r="Q214" s="1">
        <v>2010</v>
      </c>
      <c r="R214" s="1" t="s">
        <v>2276</v>
      </c>
      <c r="S214" s="1" t="s">
        <v>27</v>
      </c>
      <c r="T214" s="6">
        <v>1</v>
      </c>
      <c r="Z214" s="1">
        <v>82.02</v>
      </c>
      <c r="AA214" s="1">
        <v>6.25</v>
      </c>
      <c r="AC214" s="1">
        <v>15.05</v>
      </c>
      <c r="AH214" s="1">
        <v>1.22</v>
      </c>
      <c r="AV214" s="1">
        <v>1.62</v>
      </c>
      <c r="AY214" s="1">
        <v>46.730499999999999</v>
      </c>
      <c r="BA214" s="1">
        <v>5.2</v>
      </c>
      <c r="BB214" s="1">
        <v>139.80000000000001</v>
      </c>
      <c r="BD214" s="1">
        <v>6.8099999999999994E-2</v>
      </c>
      <c r="BF214" s="1">
        <v>3.2061000000000002</v>
      </c>
      <c r="BG214" s="1">
        <v>93.5</v>
      </c>
      <c r="BH214" s="1">
        <v>409.07060000000001</v>
      </c>
      <c r="BJ214" s="1">
        <v>41.052199999999999</v>
      </c>
      <c r="BK214" s="1">
        <v>5.2499999999999998E-2</v>
      </c>
      <c r="BM214" s="1">
        <v>76.262900000000002</v>
      </c>
      <c r="BO214" s="1">
        <v>34.200000000000003</v>
      </c>
      <c r="BP214" s="1">
        <v>269.25729999999999</v>
      </c>
      <c r="BS214" s="1">
        <v>37.9</v>
      </c>
      <c r="BW214" s="1">
        <v>1.115</v>
      </c>
      <c r="BX214" s="1">
        <v>480.2</v>
      </c>
      <c r="BY214" s="1">
        <v>31.2</v>
      </c>
      <c r="CA214" s="1">
        <v>3.8</v>
      </c>
      <c r="CB214" s="1">
        <v>34</v>
      </c>
      <c r="CC214" s="1">
        <v>19.100000000000001</v>
      </c>
      <c r="CD214" s="1">
        <v>3.2</v>
      </c>
    </row>
    <row r="215" spans="1:148" x14ac:dyDescent="0.2">
      <c r="A215" s="1" t="s">
        <v>2294</v>
      </c>
      <c r="B215" s="1" t="s">
        <v>55</v>
      </c>
      <c r="C215" s="1" t="s">
        <v>2273</v>
      </c>
      <c r="E215" s="1">
        <v>32</v>
      </c>
      <c r="F215" s="1" t="s">
        <v>1596</v>
      </c>
      <c r="H215" s="1" t="s">
        <v>2292</v>
      </c>
      <c r="I215" s="1" t="s">
        <v>7</v>
      </c>
      <c r="J215" s="1" t="s">
        <v>1598</v>
      </c>
      <c r="K215" s="1" t="s">
        <v>1599</v>
      </c>
      <c r="L215" s="1" t="s">
        <v>1598</v>
      </c>
      <c r="M215" s="1" t="s">
        <v>2280</v>
      </c>
      <c r="O215" s="1">
        <v>1</v>
      </c>
      <c r="Q215" s="1">
        <v>2010</v>
      </c>
      <c r="R215" s="1" t="s">
        <v>2276</v>
      </c>
      <c r="S215" s="1" t="s">
        <v>27</v>
      </c>
      <c r="T215" s="6">
        <v>1</v>
      </c>
      <c r="Z215" s="1">
        <v>79.5</v>
      </c>
      <c r="AA215" s="1">
        <v>6.25</v>
      </c>
      <c r="AC215" s="1">
        <v>17.239999999999998</v>
      </c>
      <c r="AH215" s="1">
        <v>1.48</v>
      </c>
      <c r="AV215" s="1">
        <v>1.69</v>
      </c>
      <c r="AY215" s="1">
        <v>58.831000000000003</v>
      </c>
      <c r="BA215" s="1">
        <v>3.9</v>
      </c>
      <c r="BB215" s="1">
        <v>1</v>
      </c>
      <c r="BD215" s="1">
        <v>6.5100000000000005E-2</v>
      </c>
      <c r="BF215" s="1">
        <v>2.2046000000000001</v>
      </c>
      <c r="BG215" s="1">
        <v>75.900000000000006</v>
      </c>
      <c r="BH215" s="1">
        <v>409.3023</v>
      </c>
      <c r="BJ215" s="1">
        <v>49.073300000000003</v>
      </c>
      <c r="BK215" s="1">
        <v>4.7399999999999998E-2</v>
      </c>
      <c r="BM215" s="1">
        <v>117.2914</v>
      </c>
      <c r="BO215" s="1">
        <v>98.7</v>
      </c>
      <c r="BP215" s="1">
        <v>326.82170000000002</v>
      </c>
      <c r="BS215" s="1">
        <v>46.8</v>
      </c>
      <c r="BW215" s="1">
        <v>1.5099</v>
      </c>
      <c r="BX215" s="1">
        <v>696.8</v>
      </c>
      <c r="BY215" s="1">
        <v>22.8</v>
      </c>
      <c r="CA215" s="1">
        <v>2.1</v>
      </c>
      <c r="CB215" s="1">
        <v>29.2</v>
      </c>
      <c r="CC215" s="1">
        <v>11.1</v>
      </c>
      <c r="CD215" s="1">
        <v>25.4</v>
      </c>
    </row>
    <row r="216" spans="1:148" x14ac:dyDescent="0.2">
      <c r="A216" s="1" t="s">
        <v>2295</v>
      </c>
      <c r="B216" s="1" t="s">
        <v>55</v>
      </c>
      <c r="C216" s="1" t="s">
        <v>2273</v>
      </c>
      <c r="E216" s="1">
        <v>32</v>
      </c>
      <c r="F216" s="1" t="s">
        <v>1596</v>
      </c>
      <c r="H216" s="1" t="s">
        <v>2292</v>
      </c>
      <c r="I216" s="1" t="s">
        <v>7</v>
      </c>
      <c r="J216" s="1" t="s">
        <v>1598</v>
      </c>
      <c r="K216" s="1" t="s">
        <v>1599</v>
      </c>
      <c r="L216" s="1" t="s">
        <v>1598</v>
      </c>
      <c r="M216" s="1" t="s">
        <v>2282</v>
      </c>
      <c r="O216" s="1">
        <v>1</v>
      </c>
      <c r="Q216" s="1">
        <v>2010</v>
      </c>
      <c r="R216" s="1" t="s">
        <v>2276</v>
      </c>
      <c r="S216" s="1" t="s">
        <v>27</v>
      </c>
      <c r="T216" s="6">
        <v>1</v>
      </c>
      <c r="Z216" s="1">
        <v>78.790000000000006</v>
      </c>
      <c r="AA216" s="1">
        <v>6.25</v>
      </c>
      <c r="AC216" s="1">
        <v>16.239999999999998</v>
      </c>
      <c r="AH216" s="1">
        <v>2.37</v>
      </c>
      <c r="AV216" s="1">
        <v>1.76</v>
      </c>
      <c r="AY216" s="1">
        <v>57.393999999999998</v>
      </c>
      <c r="BA216" s="1">
        <v>23</v>
      </c>
      <c r="BB216" s="1">
        <v>1.1000000000000001</v>
      </c>
      <c r="BD216" s="1">
        <v>5.3100000000000001E-2</v>
      </c>
      <c r="BF216" s="1">
        <v>7.8312999999999997</v>
      </c>
      <c r="BG216" s="1">
        <v>114</v>
      </c>
      <c r="BH216" s="1">
        <v>338.43259999999998</v>
      </c>
      <c r="BJ216" s="1">
        <v>32.475000000000001</v>
      </c>
      <c r="BK216" s="1">
        <v>5.4899999999999997E-2</v>
      </c>
      <c r="BM216" s="1">
        <v>132.87180000000001</v>
      </c>
      <c r="BO216" s="1">
        <v>115.3</v>
      </c>
      <c r="BP216" s="1">
        <v>299.76909999999998</v>
      </c>
      <c r="BS216" s="1">
        <v>33.1</v>
      </c>
      <c r="BW216" s="1">
        <v>1.4984</v>
      </c>
      <c r="BX216" s="1">
        <v>1867.7</v>
      </c>
      <c r="BY216" s="1">
        <v>29.8</v>
      </c>
      <c r="CA216" s="1">
        <v>0.4</v>
      </c>
      <c r="CB216" s="1">
        <v>33.4</v>
      </c>
      <c r="CC216" s="1">
        <v>15.5</v>
      </c>
      <c r="CD216" s="1">
        <v>32.200000000000003</v>
      </c>
    </row>
    <row r="217" spans="1:148" x14ac:dyDescent="0.2">
      <c r="A217" s="1" t="s">
        <v>2296</v>
      </c>
      <c r="B217" s="1" t="s">
        <v>55</v>
      </c>
      <c r="C217" s="1" t="s">
        <v>2297</v>
      </c>
      <c r="D217" s="1" t="s">
        <v>2</v>
      </c>
      <c r="E217" s="1">
        <v>21</v>
      </c>
      <c r="F217" s="1" t="s">
        <v>2298</v>
      </c>
      <c r="H217" s="1" t="s">
        <v>2299</v>
      </c>
      <c r="I217" s="1" t="s">
        <v>7</v>
      </c>
      <c r="J217" s="1" t="s">
        <v>2300</v>
      </c>
      <c r="K217" s="1" t="s">
        <v>2301</v>
      </c>
      <c r="L217" s="1" t="s">
        <v>2300</v>
      </c>
      <c r="N217" s="1" t="s">
        <v>2302</v>
      </c>
      <c r="P217" s="1" t="s">
        <v>2303</v>
      </c>
      <c r="Q217" s="1">
        <v>2009</v>
      </c>
      <c r="R217" s="1" t="s">
        <v>2304</v>
      </c>
      <c r="S217" s="1" t="s">
        <v>27</v>
      </c>
      <c r="T217" s="6">
        <v>1</v>
      </c>
      <c r="Z217" s="1">
        <v>72.5</v>
      </c>
      <c r="AA217" s="1">
        <v>6.25</v>
      </c>
      <c r="AC217" s="1">
        <v>19.002500000000001</v>
      </c>
      <c r="AI217" s="1">
        <v>7.1775000000000002</v>
      </c>
      <c r="AK217" s="1">
        <v>2.1037080074999999</v>
      </c>
      <c r="AL217" s="1">
        <v>1.9988502875</v>
      </c>
      <c r="AM217" s="1">
        <v>1.67772352</v>
      </c>
      <c r="AN217" s="1">
        <v>0.77332568499999998</v>
      </c>
      <c r="AV217" s="1">
        <v>1.2210000000000001</v>
      </c>
      <c r="DQ217" s="1">
        <v>467.4615</v>
      </c>
      <c r="DR217" s="1">
        <v>6916.91</v>
      </c>
      <c r="DS217" s="1">
        <v>16171.127500000001</v>
      </c>
      <c r="DU217" s="1">
        <v>1048.9380000000001</v>
      </c>
      <c r="DV217" s="1">
        <v>1010.933</v>
      </c>
      <c r="DX217" s="1">
        <v>1833.74125</v>
      </c>
      <c r="EA217" s="1">
        <v>2736.36</v>
      </c>
      <c r="EB217" s="1">
        <v>851.31200000000001</v>
      </c>
      <c r="EC217" s="1">
        <v>480.76325000000003</v>
      </c>
      <c r="EF217" s="1">
        <v>885.51649999999995</v>
      </c>
      <c r="EG217" s="1">
        <v>1311.1724999999999</v>
      </c>
      <c r="EH217" s="1">
        <v>1508.7985000000001</v>
      </c>
      <c r="EK217" s="1">
        <v>809.50649999999996</v>
      </c>
      <c r="EL217" s="1">
        <v>611.88049999999998</v>
      </c>
      <c r="EM217" s="1">
        <v>672.68849999999998</v>
      </c>
      <c r="EO217" s="1">
        <v>741.09749999999997</v>
      </c>
      <c r="EQ217" s="1">
        <v>395.25200000000001</v>
      </c>
      <c r="ER217" s="1">
        <v>801.90549999999996</v>
      </c>
    </row>
    <row r="218" spans="1:148" x14ac:dyDescent="0.2">
      <c r="A218" s="1" t="s">
        <v>2305</v>
      </c>
      <c r="B218" s="1" t="s">
        <v>55</v>
      </c>
      <c r="C218" s="1" t="s">
        <v>2297</v>
      </c>
      <c r="D218" s="1" t="s">
        <v>2</v>
      </c>
      <c r="E218" s="1">
        <v>21</v>
      </c>
      <c r="F218" s="1" t="s">
        <v>2298</v>
      </c>
      <c r="H218" s="1" t="s">
        <v>2306</v>
      </c>
      <c r="I218" s="1" t="s">
        <v>7</v>
      </c>
      <c r="J218" s="1" t="s">
        <v>2300</v>
      </c>
      <c r="K218" s="1" t="s">
        <v>2301</v>
      </c>
      <c r="L218" s="1" t="s">
        <v>2300</v>
      </c>
      <c r="N218" s="1" t="s">
        <v>2307</v>
      </c>
      <c r="P218" s="1" t="s">
        <v>2303</v>
      </c>
      <c r="Q218" s="1">
        <v>2009</v>
      </c>
      <c r="R218" s="1" t="s">
        <v>2304</v>
      </c>
      <c r="S218" s="1" t="s">
        <v>27</v>
      </c>
      <c r="T218" s="6">
        <v>1</v>
      </c>
      <c r="Z218" s="1">
        <v>69.599999999999994</v>
      </c>
      <c r="AA218" s="1">
        <v>6.25</v>
      </c>
      <c r="AC218" s="1">
        <v>19.395199999999999</v>
      </c>
      <c r="AI218" s="1">
        <v>9.6671999999999993</v>
      </c>
      <c r="AK218" s="1">
        <v>2.8049732415999999</v>
      </c>
      <c r="AL218" s="1">
        <v>2.6185667920000002</v>
      </c>
      <c r="AM218" s="1">
        <v>2.4854193279999999</v>
      </c>
      <c r="AN218" s="1">
        <v>0.94978524320000002</v>
      </c>
      <c r="AV218" s="1">
        <v>1.3193600000000001</v>
      </c>
      <c r="DQ218" s="1">
        <v>451.90816000000001</v>
      </c>
      <c r="DR218" s="1">
        <v>6962.8768</v>
      </c>
      <c r="DS218" s="1">
        <v>16408.339199999999</v>
      </c>
      <c r="DU218" s="1">
        <v>1008.5504</v>
      </c>
      <c r="DV218" s="1">
        <v>1082.25216</v>
      </c>
      <c r="DX218" s="1">
        <v>1811.5116800000001</v>
      </c>
      <c r="EA218" s="1">
        <v>2851.0944</v>
      </c>
      <c r="EB218" s="1">
        <v>903.81632000000002</v>
      </c>
      <c r="EC218" s="1">
        <v>496.51711999999998</v>
      </c>
      <c r="EF218" s="1">
        <v>913.51391999999998</v>
      </c>
      <c r="EG218" s="1">
        <v>1384.81728</v>
      </c>
      <c r="EH218" s="1">
        <v>1501.18848</v>
      </c>
      <c r="EK218" s="1">
        <v>785.50559999999996</v>
      </c>
      <c r="EL218" s="1">
        <v>566.33983999999998</v>
      </c>
      <c r="EM218" s="1">
        <v>715.68287999999995</v>
      </c>
      <c r="EO218" s="1">
        <v>783.56608000000006</v>
      </c>
      <c r="EQ218" s="1">
        <v>360.75072</v>
      </c>
      <c r="ER218" s="1">
        <v>789.38463999999999</v>
      </c>
    </row>
    <row r="219" spans="1:148" x14ac:dyDescent="0.2">
      <c r="A219" s="1" t="s">
        <v>2308</v>
      </c>
      <c r="B219" s="1" t="s">
        <v>55</v>
      </c>
      <c r="C219" s="1" t="s">
        <v>2297</v>
      </c>
      <c r="D219" s="1" t="s">
        <v>2</v>
      </c>
      <c r="E219" s="1">
        <v>21</v>
      </c>
      <c r="F219" s="1" t="s">
        <v>2298</v>
      </c>
      <c r="H219" s="1" t="s">
        <v>2309</v>
      </c>
      <c r="I219" s="1" t="s">
        <v>7</v>
      </c>
      <c r="J219" s="1" t="s">
        <v>2300</v>
      </c>
      <c r="K219" s="1" t="s">
        <v>2301</v>
      </c>
      <c r="L219" s="1" t="s">
        <v>2300</v>
      </c>
      <c r="N219" s="1" t="s">
        <v>2310</v>
      </c>
      <c r="P219" s="1" t="s">
        <v>2303</v>
      </c>
      <c r="Q219" s="1">
        <v>2009</v>
      </c>
      <c r="R219" s="1" t="s">
        <v>2304</v>
      </c>
      <c r="S219" s="1" t="s">
        <v>27</v>
      </c>
      <c r="T219" s="6">
        <v>1</v>
      </c>
      <c r="Z219" s="1">
        <v>69.2</v>
      </c>
      <c r="AA219" s="1">
        <v>6.25</v>
      </c>
      <c r="AC219" s="1">
        <v>19.311599999999999</v>
      </c>
      <c r="AI219" s="1">
        <v>10.194800000000001</v>
      </c>
      <c r="AK219" s="1">
        <v>3.1010557204000002</v>
      </c>
      <c r="AL219" s="1">
        <v>2.4920870744000001</v>
      </c>
      <c r="AM219" s="1">
        <v>2.8480995135999998</v>
      </c>
      <c r="AN219" s="1">
        <v>0.92937984127999995</v>
      </c>
      <c r="AV219" s="1">
        <v>1.2689600000000001</v>
      </c>
      <c r="DQ219" s="1">
        <v>392.02548000000002</v>
      </c>
      <c r="DR219" s="1">
        <v>6855.6180000000004</v>
      </c>
      <c r="DS219" s="1">
        <v>16318.302</v>
      </c>
      <c r="DU219" s="1">
        <v>1069.8626400000001</v>
      </c>
      <c r="DV219" s="1">
        <v>1102.69236</v>
      </c>
      <c r="DX219" s="1">
        <v>1915.71072</v>
      </c>
      <c r="EA219" s="1">
        <v>2780.8703999999998</v>
      </c>
      <c r="EB219" s="1">
        <v>882.54012</v>
      </c>
      <c r="EC219" s="1">
        <v>494.37696</v>
      </c>
      <c r="EF219" s="1">
        <v>880.60896000000002</v>
      </c>
      <c r="EG219" s="1">
        <v>1359.53664</v>
      </c>
      <c r="EH219" s="1">
        <v>1573.8954000000001</v>
      </c>
      <c r="EK219" s="1">
        <v>585.14148</v>
      </c>
      <c r="EL219" s="1">
        <v>533.00016000000005</v>
      </c>
      <c r="EM219" s="1">
        <v>701.01107999999999</v>
      </c>
      <c r="EO219" s="1">
        <v>801.43140000000005</v>
      </c>
      <c r="EQ219" s="1">
        <v>403.61243999999999</v>
      </c>
      <c r="ER219" s="1">
        <v>867.09083999999996</v>
      </c>
    </row>
    <row r="220" spans="1:148" x14ac:dyDescent="0.2">
      <c r="A220" s="1" t="s">
        <v>2311</v>
      </c>
      <c r="B220" s="1" t="s">
        <v>55</v>
      </c>
      <c r="C220" s="1" t="s">
        <v>2297</v>
      </c>
      <c r="D220" s="1" t="s">
        <v>2</v>
      </c>
      <c r="E220" s="1">
        <v>21</v>
      </c>
      <c r="F220" s="1" t="s">
        <v>2298</v>
      </c>
      <c r="H220" s="1" t="s">
        <v>2312</v>
      </c>
      <c r="I220" s="1" t="s">
        <v>7</v>
      </c>
      <c r="J220" s="1" t="s">
        <v>2300</v>
      </c>
      <c r="K220" s="1" t="s">
        <v>2301</v>
      </c>
      <c r="L220" s="1" t="s">
        <v>2300</v>
      </c>
      <c r="N220" s="1" t="s">
        <v>2313</v>
      </c>
      <c r="P220" s="1" t="s">
        <v>2303</v>
      </c>
      <c r="Q220" s="1">
        <v>2009</v>
      </c>
      <c r="R220" s="1" t="s">
        <v>2304</v>
      </c>
      <c r="S220" s="1" t="s">
        <v>27</v>
      </c>
      <c r="T220" s="6">
        <v>1</v>
      </c>
      <c r="Z220" s="1">
        <v>68.3</v>
      </c>
      <c r="AA220" s="1">
        <v>6.25</v>
      </c>
      <c r="AC220" s="1">
        <v>20.2563</v>
      </c>
      <c r="AI220" s="1">
        <v>10.270799999999999</v>
      </c>
      <c r="AK220" s="1">
        <v>3.0112503916</v>
      </c>
      <c r="AL220" s="1">
        <v>2.6053451663999998</v>
      </c>
      <c r="AM220" s="1">
        <v>3.1245262683999999</v>
      </c>
      <c r="AN220" s="1">
        <v>0.69853457360000004</v>
      </c>
      <c r="AV220" s="1">
        <v>1.20143</v>
      </c>
      <c r="DQ220" s="1">
        <v>476.02305000000001</v>
      </c>
      <c r="DR220" s="1">
        <v>7596.1125000000002</v>
      </c>
      <c r="DS220" s="1">
        <v>17562.212100000001</v>
      </c>
      <c r="DU220" s="1">
        <v>1091.81457</v>
      </c>
      <c r="DV220" s="1">
        <v>1116.12213</v>
      </c>
      <c r="DX220" s="1">
        <v>2126.9115000000002</v>
      </c>
      <c r="EA220" s="1">
        <v>2997.9324000000001</v>
      </c>
      <c r="EB220" s="1">
        <v>804.17511000000002</v>
      </c>
      <c r="EC220" s="1">
        <v>583.38144</v>
      </c>
      <c r="EF220" s="1">
        <v>871.02089999999998</v>
      </c>
      <c r="EG220" s="1">
        <v>1517.19687</v>
      </c>
      <c r="EH220" s="1">
        <v>1697.47794</v>
      </c>
      <c r="EK220" s="1">
        <v>818.35451999999998</v>
      </c>
      <c r="EL220" s="1">
        <v>518.56128000000001</v>
      </c>
      <c r="EM220" s="1">
        <v>733.27805999999998</v>
      </c>
      <c r="EO220" s="1">
        <v>812.27763000000004</v>
      </c>
      <c r="EQ220" s="1">
        <v>443.61297000000002</v>
      </c>
      <c r="ER220" s="1">
        <v>956.09735999999998</v>
      </c>
    </row>
    <row r="221" spans="1:148" x14ac:dyDescent="0.2">
      <c r="A221" s="1" t="s">
        <v>2314</v>
      </c>
      <c r="B221" s="1" t="s">
        <v>55</v>
      </c>
      <c r="C221" s="1" t="s">
        <v>2297</v>
      </c>
      <c r="D221" s="1" t="s">
        <v>2</v>
      </c>
      <c r="E221" s="1">
        <v>21</v>
      </c>
      <c r="F221" s="1" t="s">
        <v>2298</v>
      </c>
      <c r="H221" s="1" t="s">
        <v>2315</v>
      </c>
      <c r="I221" s="1" t="s">
        <v>7</v>
      </c>
      <c r="J221" s="1" t="s">
        <v>2300</v>
      </c>
      <c r="K221" s="1" t="s">
        <v>2301</v>
      </c>
      <c r="L221" s="1" t="s">
        <v>2300</v>
      </c>
      <c r="N221" s="1" t="s">
        <v>2316</v>
      </c>
      <c r="P221" s="1" t="s">
        <v>2303</v>
      </c>
      <c r="Q221" s="1">
        <v>2009</v>
      </c>
      <c r="R221" s="1" t="s">
        <v>2304</v>
      </c>
      <c r="S221" s="1" t="s">
        <v>27</v>
      </c>
      <c r="T221" s="6">
        <v>1</v>
      </c>
      <c r="Z221" s="1">
        <v>69.900000000000006</v>
      </c>
      <c r="AA221" s="1">
        <v>6.25</v>
      </c>
      <c r="AC221" s="1">
        <v>19.595099999999999</v>
      </c>
      <c r="AI221" s="1">
        <v>9.1805000000000003</v>
      </c>
      <c r="AK221" s="1">
        <v>2.69517008</v>
      </c>
      <c r="AL221" s="1">
        <v>2.3666962265000002</v>
      </c>
      <c r="AM221" s="1">
        <v>2.69517008</v>
      </c>
      <c r="AN221" s="1">
        <v>0.66452787285000003</v>
      </c>
      <c r="AV221" s="1">
        <v>1.27925</v>
      </c>
      <c r="DQ221" s="1">
        <v>489.8775</v>
      </c>
      <c r="DR221" s="1">
        <v>7544.1135000000004</v>
      </c>
      <c r="DS221" s="1">
        <v>16753.8105</v>
      </c>
      <c r="DU221" s="1">
        <v>1212.93669</v>
      </c>
      <c r="DV221" s="1">
        <v>940.56479999999999</v>
      </c>
      <c r="DX221" s="1">
        <v>1771.3970400000001</v>
      </c>
      <c r="EA221" s="1">
        <v>2900.0747999999999</v>
      </c>
      <c r="EB221" s="1">
        <v>787.72302000000002</v>
      </c>
      <c r="EC221" s="1">
        <v>560.41985999999997</v>
      </c>
      <c r="EF221" s="1">
        <v>942.52431000000001</v>
      </c>
      <c r="EG221" s="1">
        <v>1551.93192</v>
      </c>
      <c r="EH221" s="1">
        <v>1589.1626100000001</v>
      </c>
      <c r="EK221" s="1">
        <v>764.20889999999997</v>
      </c>
      <c r="EL221" s="1">
        <v>427.17318</v>
      </c>
      <c r="EM221" s="1">
        <v>613.32663000000002</v>
      </c>
      <c r="EO221" s="1">
        <v>826.91322000000002</v>
      </c>
      <c r="EQ221" s="1">
        <v>435.01121999999998</v>
      </c>
      <c r="ER221" s="1">
        <v>940.56479999999999</v>
      </c>
    </row>
    <row r="222" spans="1:148" x14ac:dyDescent="0.2">
      <c r="A222" s="1" t="s">
        <v>2317</v>
      </c>
      <c r="B222" s="1" t="s">
        <v>55</v>
      </c>
      <c r="C222" s="1" t="s">
        <v>2318</v>
      </c>
      <c r="E222" s="1">
        <v>13</v>
      </c>
      <c r="F222" s="1" t="s">
        <v>1210</v>
      </c>
      <c r="H222" s="1" t="s">
        <v>2319</v>
      </c>
      <c r="I222" s="1" t="s">
        <v>7</v>
      </c>
      <c r="J222" s="1" t="s">
        <v>1212</v>
      </c>
      <c r="K222" s="1" t="s">
        <v>1213</v>
      </c>
      <c r="L222" s="1" t="s">
        <v>1212</v>
      </c>
      <c r="N222" s="1" t="s">
        <v>2320</v>
      </c>
      <c r="O222" s="1">
        <v>1</v>
      </c>
      <c r="P222" s="1" t="s">
        <v>6711</v>
      </c>
      <c r="Q222" s="1">
        <v>2009</v>
      </c>
      <c r="R222" s="1" t="s">
        <v>2322</v>
      </c>
      <c r="S222" s="1" t="s">
        <v>27</v>
      </c>
      <c r="T222" s="6">
        <v>1</v>
      </c>
      <c r="Z222" s="1">
        <v>76.8</v>
      </c>
      <c r="AC222" s="1">
        <v>16.2</v>
      </c>
      <c r="AH222" s="1">
        <v>5.0199999999999996</v>
      </c>
      <c r="AV222" s="1">
        <v>0.83</v>
      </c>
      <c r="CU222" s="1">
        <v>0.34</v>
      </c>
      <c r="CZ222" s="1">
        <v>7.0000000000000007E-2</v>
      </c>
      <c r="DB222" s="1">
        <v>0.03</v>
      </c>
      <c r="DD222" s="1">
        <v>1.1299999999999999</v>
      </c>
      <c r="DH222" s="1">
        <v>0.08</v>
      </c>
    </row>
    <row r="223" spans="1:148" x14ac:dyDescent="0.2">
      <c r="A223" s="1" t="s">
        <v>2323</v>
      </c>
      <c r="B223" s="1" t="s">
        <v>55</v>
      </c>
      <c r="C223" s="1" t="s">
        <v>2318</v>
      </c>
      <c r="E223" s="1">
        <v>13</v>
      </c>
      <c r="F223" s="1" t="s">
        <v>1210</v>
      </c>
      <c r="H223" s="1" t="s">
        <v>2324</v>
      </c>
      <c r="I223" s="1" t="s">
        <v>11</v>
      </c>
      <c r="J223" s="1" t="s">
        <v>1212</v>
      </c>
      <c r="K223" s="1" t="s">
        <v>1213</v>
      </c>
      <c r="L223" s="1" t="s">
        <v>1212</v>
      </c>
      <c r="N223" s="1" t="s">
        <v>2325</v>
      </c>
      <c r="O223" s="1">
        <v>1</v>
      </c>
      <c r="P223" s="1" t="s">
        <v>6711</v>
      </c>
      <c r="Q223" s="1">
        <v>2009</v>
      </c>
      <c r="R223" s="1" t="s">
        <v>2322</v>
      </c>
      <c r="S223" s="1" t="s">
        <v>27</v>
      </c>
      <c r="T223" s="6">
        <v>1</v>
      </c>
      <c r="Z223" s="1">
        <v>69.400000000000006</v>
      </c>
      <c r="AC223" s="1">
        <v>21.8</v>
      </c>
      <c r="AH223" s="1">
        <v>5.85</v>
      </c>
      <c r="AV223" s="1">
        <v>1.21</v>
      </c>
      <c r="CU223" s="1">
        <v>1.52</v>
      </c>
      <c r="CZ223" s="1">
        <v>0.04</v>
      </c>
      <c r="DB223" s="1">
        <v>0.02</v>
      </c>
      <c r="DD223" s="1">
        <v>0.73</v>
      </c>
      <c r="DH223" s="1">
        <v>0.06</v>
      </c>
    </row>
    <row r="224" spans="1:148" x14ac:dyDescent="0.2">
      <c r="A224" s="1" t="s">
        <v>2326</v>
      </c>
      <c r="B224" s="1" t="s">
        <v>55</v>
      </c>
      <c r="C224" s="1" t="s">
        <v>2318</v>
      </c>
      <c r="E224" s="1">
        <v>13</v>
      </c>
      <c r="F224" s="1" t="s">
        <v>1210</v>
      </c>
      <c r="H224" s="1" t="s">
        <v>2327</v>
      </c>
      <c r="I224" s="1" t="s">
        <v>11</v>
      </c>
      <c r="J224" s="1" t="s">
        <v>1212</v>
      </c>
      <c r="K224" s="1" t="s">
        <v>1213</v>
      </c>
      <c r="L224" s="1" t="s">
        <v>1212</v>
      </c>
      <c r="N224" s="1" t="s">
        <v>2328</v>
      </c>
      <c r="O224" s="1">
        <v>1</v>
      </c>
      <c r="P224" s="1" t="s">
        <v>6711</v>
      </c>
      <c r="Q224" s="1">
        <v>2009</v>
      </c>
      <c r="R224" s="1" t="s">
        <v>2322</v>
      </c>
      <c r="S224" s="1" t="s">
        <v>27</v>
      </c>
      <c r="T224" s="6">
        <v>1</v>
      </c>
      <c r="Z224" s="1">
        <v>72.7</v>
      </c>
      <c r="AC224" s="1">
        <v>19.5</v>
      </c>
      <c r="AH224" s="1">
        <v>5.16</v>
      </c>
      <c r="AV224" s="1">
        <v>1.05</v>
      </c>
      <c r="CU224" s="1">
        <v>0.59</v>
      </c>
      <c r="CZ224" s="1">
        <v>0.05</v>
      </c>
      <c r="DB224" s="1">
        <v>7.0000000000000007E-2</v>
      </c>
      <c r="DD224" s="1">
        <v>2.0299999999999998</v>
      </c>
      <c r="DH224" s="1">
        <v>0.1</v>
      </c>
    </row>
    <row r="225" spans="1:148" x14ac:dyDescent="0.2">
      <c r="A225" s="1" t="s">
        <v>2329</v>
      </c>
      <c r="B225" s="1" t="s">
        <v>55</v>
      </c>
      <c r="C225" s="1" t="s">
        <v>2318</v>
      </c>
      <c r="E225" s="1">
        <v>13</v>
      </c>
      <c r="F225" s="1" t="s">
        <v>1210</v>
      </c>
      <c r="H225" s="1" t="s">
        <v>2330</v>
      </c>
      <c r="I225" s="1" t="s">
        <v>11</v>
      </c>
      <c r="J225" s="1" t="s">
        <v>1212</v>
      </c>
      <c r="K225" s="1" t="s">
        <v>1213</v>
      </c>
      <c r="L225" s="1" t="s">
        <v>1212</v>
      </c>
      <c r="N225" s="1" t="s">
        <v>2331</v>
      </c>
      <c r="O225" s="1">
        <v>1</v>
      </c>
      <c r="P225" s="1" t="s">
        <v>6711</v>
      </c>
      <c r="Q225" s="1">
        <v>2009</v>
      </c>
      <c r="R225" s="1" t="s">
        <v>2322</v>
      </c>
      <c r="S225" s="1" t="s">
        <v>27</v>
      </c>
      <c r="T225" s="6">
        <v>1</v>
      </c>
      <c r="Z225" s="1">
        <v>72.7</v>
      </c>
      <c r="AC225" s="1">
        <v>20.3</v>
      </c>
      <c r="AH225" s="1">
        <v>5.22</v>
      </c>
      <c r="AV225" s="1">
        <v>1.0900000000000001</v>
      </c>
      <c r="CU225" s="1">
        <v>0.52</v>
      </c>
      <c r="CZ225" s="1">
        <v>0.04</v>
      </c>
      <c r="DB225" s="1">
        <v>0.02</v>
      </c>
      <c r="DD225" s="1">
        <v>0.05</v>
      </c>
      <c r="DH225" s="1">
        <v>0.05</v>
      </c>
    </row>
    <row r="226" spans="1:148" x14ac:dyDescent="0.2">
      <c r="A226" s="1" t="s">
        <v>2332</v>
      </c>
      <c r="B226" s="1" t="s">
        <v>55</v>
      </c>
      <c r="C226" s="1" t="s">
        <v>2318</v>
      </c>
      <c r="E226" s="1">
        <v>13</v>
      </c>
      <c r="F226" s="1" t="s">
        <v>1210</v>
      </c>
      <c r="H226" s="1" t="s">
        <v>2333</v>
      </c>
      <c r="I226" s="1" t="s">
        <v>11</v>
      </c>
      <c r="J226" s="1" t="s">
        <v>1212</v>
      </c>
      <c r="K226" s="1" t="s">
        <v>1213</v>
      </c>
      <c r="L226" s="1" t="s">
        <v>1212</v>
      </c>
      <c r="N226" s="1" t="s">
        <v>2334</v>
      </c>
      <c r="O226" s="1">
        <v>1</v>
      </c>
      <c r="P226" s="1" t="s">
        <v>6711</v>
      </c>
      <c r="Q226" s="1">
        <v>2009</v>
      </c>
      <c r="R226" s="1" t="s">
        <v>2322</v>
      </c>
      <c r="S226" s="1" t="s">
        <v>27</v>
      </c>
      <c r="T226" s="6">
        <v>1</v>
      </c>
      <c r="Z226" s="1">
        <v>70.7</v>
      </c>
      <c r="AC226" s="1">
        <v>20</v>
      </c>
      <c r="AH226" s="1">
        <v>8.02</v>
      </c>
      <c r="AV226" s="1">
        <v>1.1499999999999999</v>
      </c>
      <c r="CU226" s="1">
        <v>0.52</v>
      </c>
      <c r="CZ226" s="1">
        <v>0.04</v>
      </c>
      <c r="DB226" s="1">
        <v>0.01</v>
      </c>
      <c r="DD226" s="1">
        <v>0.04</v>
      </c>
      <c r="DH226" s="1">
        <v>0.03</v>
      </c>
    </row>
    <row r="227" spans="1:148" x14ac:dyDescent="0.2">
      <c r="A227" s="1" t="s">
        <v>2335</v>
      </c>
      <c r="B227" s="1" t="s">
        <v>55</v>
      </c>
      <c r="C227" s="1" t="s">
        <v>2336</v>
      </c>
      <c r="E227" s="1">
        <v>36</v>
      </c>
      <c r="F227" s="1" t="s">
        <v>2337</v>
      </c>
      <c r="H227" s="1" t="s">
        <v>2338</v>
      </c>
      <c r="I227" s="1" t="s">
        <v>7</v>
      </c>
      <c r="J227" s="1" t="s">
        <v>2339</v>
      </c>
      <c r="K227" s="1" t="s">
        <v>2340</v>
      </c>
      <c r="L227" s="1" t="s">
        <v>2339</v>
      </c>
      <c r="M227" s="1" t="s">
        <v>2341</v>
      </c>
      <c r="O227" s="1">
        <v>1</v>
      </c>
      <c r="Q227" s="1">
        <v>1993</v>
      </c>
      <c r="R227" s="1" t="s">
        <v>2342</v>
      </c>
      <c r="S227" s="1" t="s">
        <v>27</v>
      </c>
      <c r="T227" s="6">
        <v>1</v>
      </c>
      <c r="Z227" s="1">
        <v>70.099999999999994</v>
      </c>
      <c r="AA227" s="1">
        <v>6.25</v>
      </c>
      <c r="AC227" s="1">
        <v>13</v>
      </c>
      <c r="AH227" s="1">
        <v>14.7</v>
      </c>
      <c r="AV227" s="1">
        <v>1.6</v>
      </c>
      <c r="AY227" s="1">
        <v>35.299999999999997</v>
      </c>
      <c r="BB227" s="1">
        <v>33.4</v>
      </c>
      <c r="BD227" s="1">
        <v>2.23E-2</v>
      </c>
      <c r="BF227" s="1">
        <v>1.1000000000000001</v>
      </c>
      <c r="BG227" s="1">
        <v>22.8</v>
      </c>
      <c r="BJ227" s="1">
        <v>47.9</v>
      </c>
      <c r="BK227" s="1">
        <v>2.5999999999999999E-2</v>
      </c>
      <c r="BP227" s="1">
        <v>259</v>
      </c>
      <c r="BW227" s="1">
        <v>1.5</v>
      </c>
      <c r="DU227" s="1">
        <v>663</v>
      </c>
      <c r="DV227" s="1">
        <v>650</v>
      </c>
      <c r="DX227" s="1">
        <v>1300</v>
      </c>
      <c r="EA227" s="1">
        <v>1560</v>
      </c>
      <c r="EB227" s="1">
        <v>403</v>
      </c>
      <c r="EC227" s="1">
        <v>260</v>
      </c>
      <c r="EF227" s="1">
        <v>507</v>
      </c>
      <c r="EG227" s="1">
        <v>910</v>
      </c>
      <c r="EH227" s="1">
        <v>1053</v>
      </c>
      <c r="EI227" s="1">
        <v>273</v>
      </c>
      <c r="EK227" s="1">
        <v>520</v>
      </c>
      <c r="EL227" s="1">
        <v>390</v>
      </c>
      <c r="EM227" s="1">
        <v>403</v>
      </c>
      <c r="EO227" s="1">
        <v>624</v>
      </c>
      <c r="EQ227" s="1">
        <v>546</v>
      </c>
      <c r="ER227" s="1">
        <v>572</v>
      </c>
    </row>
    <row r="228" spans="1:148" x14ac:dyDescent="0.2">
      <c r="A228" s="1" t="s">
        <v>2343</v>
      </c>
      <c r="B228" s="1" t="s">
        <v>55</v>
      </c>
      <c r="C228" s="1" t="s">
        <v>2336</v>
      </c>
      <c r="E228" s="1">
        <v>24</v>
      </c>
      <c r="F228" s="1" t="s">
        <v>2344</v>
      </c>
      <c r="H228" s="1" t="s">
        <v>2345</v>
      </c>
      <c r="I228" s="1" t="s">
        <v>7</v>
      </c>
      <c r="J228" s="1" t="s">
        <v>2346</v>
      </c>
      <c r="K228" s="1" t="s">
        <v>2347</v>
      </c>
      <c r="L228" s="1" t="s">
        <v>2348</v>
      </c>
      <c r="M228" s="1" t="s">
        <v>2349</v>
      </c>
      <c r="O228" s="1">
        <v>1</v>
      </c>
      <c r="Q228" s="1">
        <v>1993</v>
      </c>
      <c r="R228" s="1" t="s">
        <v>2342</v>
      </c>
      <c r="S228" s="1" t="s">
        <v>27</v>
      </c>
      <c r="T228" s="6">
        <v>1</v>
      </c>
      <c r="Z228" s="1">
        <v>72.7</v>
      </c>
      <c r="AA228" s="1">
        <v>6.25</v>
      </c>
      <c r="AC228" s="1">
        <v>17.600000000000001</v>
      </c>
      <c r="AH228" s="1">
        <v>7.5</v>
      </c>
      <c r="AV228" s="1">
        <v>1.5</v>
      </c>
      <c r="AY228" s="1">
        <v>35.5</v>
      </c>
      <c r="BB228" s="1">
        <v>15.8</v>
      </c>
      <c r="BD228" s="1">
        <v>0.1062</v>
      </c>
      <c r="BF228" s="1">
        <v>1.2</v>
      </c>
      <c r="BG228" s="1">
        <v>33</v>
      </c>
      <c r="BJ228" s="1">
        <v>53.6</v>
      </c>
      <c r="BK228" s="1">
        <v>9.7000000000000003E-3</v>
      </c>
      <c r="BP228" s="1">
        <v>312</v>
      </c>
      <c r="BW228" s="1">
        <v>2.2999999999999998</v>
      </c>
      <c r="DU228" s="1">
        <v>1073.5999999999999</v>
      </c>
      <c r="DV228" s="1">
        <v>985.6</v>
      </c>
      <c r="DX228" s="1">
        <v>1724.8</v>
      </c>
      <c r="EA228" s="1">
        <v>2376</v>
      </c>
      <c r="EB228" s="1">
        <v>668.8</v>
      </c>
      <c r="EC228" s="1">
        <v>686.4</v>
      </c>
      <c r="EF228" s="1">
        <v>721.6</v>
      </c>
      <c r="EG228" s="1">
        <v>1337.6</v>
      </c>
      <c r="EH228" s="1">
        <v>1601.6</v>
      </c>
      <c r="EI228" s="1">
        <v>545.6</v>
      </c>
      <c r="EK228" s="1">
        <v>721.6</v>
      </c>
      <c r="EL228" s="1">
        <v>545.6</v>
      </c>
      <c r="EM228" s="1">
        <v>492.8</v>
      </c>
      <c r="EO228" s="1">
        <v>897.6</v>
      </c>
      <c r="EQ228" s="1">
        <v>686.4</v>
      </c>
      <c r="ER228" s="1">
        <v>897.6</v>
      </c>
    </row>
    <row r="229" spans="1:148" x14ac:dyDescent="0.2">
      <c r="A229" s="1" t="s">
        <v>2350</v>
      </c>
      <c r="B229" s="1" t="s">
        <v>55</v>
      </c>
      <c r="C229" s="1" t="s">
        <v>2336</v>
      </c>
      <c r="E229" s="1">
        <v>35</v>
      </c>
      <c r="F229" s="1" t="s">
        <v>2351</v>
      </c>
      <c r="H229" s="1" t="s">
        <v>2352</v>
      </c>
      <c r="I229" s="1" t="s">
        <v>7</v>
      </c>
      <c r="J229" s="1" t="s">
        <v>2353</v>
      </c>
      <c r="K229" s="1" t="s">
        <v>2354</v>
      </c>
      <c r="L229" s="1" t="s">
        <v>2353</v>
      </c>
      <c r="M229" s="1" t="s">
        <v>2355</v>
      </c>
      <c r="O229" s="1">
        <v>1</v>
      </c>
      <c r="Q229" s="1">
        <v>1993</v>
      </c>
      <c r="R229" s="1" t="s">
        <v>2342</v>
      </c>
      <c r="S229" s="1" t="s">
        <v>27</v>
      </c>
      <c r="T229" s="6">
        <v>1</v>
      </c>
      <c r="Z229" s="1">
        <v>81.5</v>
      </c>
      <c r="AA229" s="1">
        <v>6.25</v>
      </c>
      <c r="AC229" s="1">
        <v>11.4</v>
      </c>
      <c r="AH229" s="1">
        <v>6.1</v>
      </c>
      <c r="AV229" s="1">
        <v>0.8</v>
      </c>
      <c r="AY229" s="1">
        <v>43</v>
      </c>
      <c r="BB229" s="1">
        <v>69.3</v>
      </c>
      <c r="BD229" s="1">
        <v>7.3899999999999993E-2</v>
      </c>
      <c r="BF229" s="1">
        <v>1.5</v>
      </c>
      <c r="BG229" s="1">
        <v>10.7</v>
      </c>
      <c r="BJ229" s="1">
        <v>45.4</v>
      </c>
      <c r="BK229" s="1">
        <v>6.4000000000000001E-2</v>
      </c>
      <c r="BP229" s="1">
        <v>190</v>
      </c>
      <c r="BW229" s="1">
        <v>3.2</v>
      </c>
      <c r="DU229" s="1">
        <v>866.4</v>
      </c>
      <c r="DV229" s="1">
        <v>661.2</v>
      </c>
      <c r="DX229" s="1">
        <v>957.6</v>
      </c>
      <c r="EA229" s="1">
        <v>1607.4</v>
      </c>
      <c r="EB229" s="1">
        <v>410.4</v>
      </c>
      <c r="EC229" s="1">
        <v>296.39999999999998</v>
      </c>
      <c r="EF229" s="1">
        <v>581.4</v>
      </c>
      <c r="EG229" s="1">
        <v>809.4</v>
      </c>
      <c r="EH229" s="1">
        <v>1140</v>
      </c>
      <c r="EI229" s="1">
        <v>444.6</v>
      </c>
      <c r="EK229" s="1">
        <v>444.6</v>
      </c>
      <c r="EL229" s="1">
        <v>467.4</v>
      </c>
      <c r="EM229" s="1">
        <v>501.6</v>
      </c>
      <c r="EO229" s="1">
        <v>524.4</v>
      </c>
      <c r="EQ229" s="1">
        <v>364.8</v>
      </c>
      <c r="ER229" s="1">
        <v>558.6</v>
      </c>
    </row>
    <row r="230" spans="1:148" x14ac:dyDescent="0.2">
      <c r="A230" s="1" t="s">
        <v>2356</v>
      </c>
      <c r="B230" s="1" t="s">
        <v>55</v>
      </c>
      <c r="C230" s="1" t="s">
        <v>2336</v>
      </c>
      <c r="E230" s="1">
        <v>37</v>
      </c>
      <c r="F230" s="1" t="s">
        <v>2017</v>
      </c>
      <c r="H230" s="1" t="s">
        <v>2357</v>
      </c>
      <c r="I230" s="1" t="s">
        <v>7</v>
      </c>
      <c r="J230" s="1" t="s">
        <v>2358</v>
      </c>
      <c r="K230" s="1" t="s">
        <v>2021</v>
      </c>
      <c r="L230" s="1" t="s">
        <v>2020</v>
      </c>
      <c r="M230" s="1" t="s">
        <v>2359</v>
      </c>
      <c r="O230" s="1">
        <v>1</v>
      </c>
      <c r="Q230" s="1">
        <v>1993</v>
      </c>
      <c r="R230" s="1" t="s">
        <v>2342</v>
      </c>
      <c r="S230" s="1" t="s">
        <v>27</v>
      </c>
      <c r="T230" s="6">
        <v>1</v>
      </c>
      <c r="Z230" s="1" t="s">
        <v>2360</v>
      </c>
      <c r="AA230" s="1">
        <v>6.25</v>
      </c>
      <c r="AC230" s="1" t="s">
        <v>2361</v>
      </c>
      <c r="AH230" s="1" t="s">
        <v>2362</v>
      </c>
      <c r="AV230" s="1" t="s">
        <v>1569</v>
      </c>
      <c r="AY230" s="1">
        <v>23.8</v>
      </c>
      <c r="BB230" s="1">
        <v>49.8</v>
      </c>
      <c r="BD230" s="1">
        <v>0.1069</v>
      </c>
      <c r="BF230" s="1">
        <v>0.8</v>
      </c>
      <c r="BG230" s="1">
        <v>25.9</v>
      </c>
      <c r="BJ230" s="1">
        <v>40.4</v>
      </c>
      <c r="BK230" s="1">
        <v>7.9699999999999993E-2</v>
      </c>
      <c r="BP230" s="1">
        <v>211</v>
      </c>
      <c r="BW230" s="1">
        <v>1.1000000000000001</v>
      </c>
      <c r="DU230" s="1">
        <v>1037</v>
      </c>
      <c r="DV230" s="1">
        <v>952</v>
      </c>
      <c r="DX230" s="1">
        <v>1598</v>
      </c>
      <c r="EA230" s="1">
        <v>2618</v>
      </c>
      <c r="EB230" s="1">
        <v>697</v>
      </c>
      <c r="EC230" s="1">
        <v>476</v>
      </c>
      <c r="EF230" s="1">
        <v>833</v>
      </c>
      <c r="EG230" s="1">
        <v>1326</v>
      </c>
      <c r="EH230" s="1">
        <v>1717</v>
      </c>
      <c r="EI230" s="1">
        <v>629</v>
      </c>
      <c r="EK230" s="1">
        <v>833</v>
      </c>
      <c r="EL230" s="1">
        <v>612</v>
      </c>
      <c r="EM230" s="1">
        <v>833</v>
      </c>
      <c r="EO230" s="1">
        <v>663</v>
      </c>
      <c r="EQ230" s="1">
        <v>714</v>
      </c>
      <c r="ER230" s="1">
        <v>952</v>
      </c>
    </row>
    <row r="231" spans="1:148" x14ac:dyDescent="0.2">
      <c r="A231" s="1" t="s">
        <v>2363</v>
      </c>
      <c r="B231" s="1" t="s">
        <v>55</v>
      </c>
      <c r="C231" s="1" t="s">
        <v>2336</v>
      </c>
      <c r="E231" s="1">
        <v>33</v>
      </c>
      <c r="F231" s="1" t="s">
        <v>2364</v>
      </c>
      <c r="H231" s="1" t="s">
        <v>2365</v>
      </c>
      <c r="I231" s="1" t="s">
        <v>7</v>
      </c>
      <c r="J231" s="1" t="s">
        <v>2366</v>
      </c>
      <c r="K231" s="1" t="s">
        <v>2367</v>
      </c>
      <c r="L231" s="1" t="s">
        <v>2368</v>
      </c>
      <c r="M231" s="1" t="s">
        <v>2369</v>
      </c>
      <c r="O231" s="1">
        <v>1</v>
      </c>
      <c r="Q231" s="1">
        <v>1993</v>
      </c>
      <c r="R231" s="1" t="s">
        <v>2342</v>
      </c>
      <c r="S231" s="1" t="s">
        <v>27</v>
      </c>
      <c r="T231" s="6">
        <v>1</v>
      </c>
      <c r="Z231" s="1">
        <v>77</v>
      </c>
      <c r="AA231" s="1">
        <v>6.25</v>
      </c>
      <c r="AC231" s="1">
        <v>16</v>
      </c>
      <c r="AH231" s="1">
        <v>4.9000000000000004</v>
      </c>
      <c r="AV231" s="1">
        <v>1.2</v>
      </c>
      <c r="AY231" s="1">
        <v>14.5</v>
      </c>
      <c r="BB231" s="1">
        <v>66.8</v>
      </c>
      <c r="BD231" s="1">
        <v>6.6799999999999998E-2</v>
      </c>
      <c r="BF231" s="1">
        <v>0.9</v>
      </c>
      <c r="BG231" s="1">
        <v>97.1</v>
      </c>
      <c r="BJ231" s="1">
        <v>36.5</v>
      </c>
      <c r="BK231" s="1">
        <v>2.23E-2</v>
      </c>
      <c r="BP231" s="1">
        <v>192</v>
      </c>
      <c r="BW231" s="1">
        <v>1.4</v>
      </c>
      <c r="DU231" s="1">
        <v>784</v>
      </c>
      <c r="DV231" s="1">
        <v>976</v>
      </c>
      <c r="DX231" s="1">
        <v>1424</v>
      </c>
      <c r="EA231" s="1">
        <v>2560</v>
      </c>
      <c r="EB231" s="1">
        <v>592</v>
      </c>
      <c r="EC231" s="1">
        <v>496</v>
      </c>
      <c r="EF231" s="1">
        <v>656</v>
      </c>
      <c r="EG231" s="1">
        <v>1280</v>
      </c>
      <c r="EH231" s="1">
        <v>1296</v>
      </c>
      <c r="EI231" s="1">
        <v>640</v>
      </c>
      <c r="EK231" s="1">
        <v>752</v>
      </c>
      <c r="EL231" s="1">
        <v>672</v>
      </c>
      <c r="EM231" s="1">
        <v>624</v>
      </c>
      <c r="EO231" s="1">
        <v>784</v>
      </c>
      <c r="EQ231" s="1">
        <v>656</v>
      </c>
      <c r="ER231" s="1">
        <v>928</v>
      </c>
    </row>
    <row r="232" spans="1:148" x14ac:dyDescent="0.2">
      <c r="A232" s="1" t="s">
        <v>2370</v>
      </c>
      <c r="B232" s="1" t="s">
        <v>55</v>
      </c>
      <c r="C232" s="1" t="s">
        <v>2336</v>
      </c>
      <c r="E232" s="1">
        <v>33</v>
      </c>
      <c r="F232" s="1" t="s">
        <v>2371</v>
      </c>
      <c r="H232" s="1" t="s">
        <v>2372</v>
      </c>
      <c r="I232" s="1" t="s">
        <v>7</v>
      </c>
      <c r="J232" s="1" t="s">
        <v>2373</v>
      </c>
      <c r="K232" s="1" t="s">
        <v>2374</v>
      </c>
      <c r="L232" s="1" t="s">
        <v>2373</v>
      </c>
      <c r="M232" s="1" t="s">
        <v>2375</v>
      </c>
      <c r="O232" s="1">
        <v>1</v>
      </c>
      <c r="Q232" s="1">
        <v>1993</v>
      </c>
      <c r="R232" s="1" t="s">
        <v>2342</v>
      </c>
      <c r="S232" s="1" t="s">
        <v>27</v>
      </c>
      <c r="T232" s="6">
        <v>1</v>
      </c>
      <c r="Z232" s="1">
        <v>79.099999999999994</v>
      </c>
      <c r="AA232" s="1">
        <v>6.25</v>
      </c>
      <c r="AC232" s="1">
        <v>15.3</v>
      </c>
      <c r="AH232" s="1">
        <v>2.2000000000000002</v>
      </c>
      <c r="AV232" s="1">
        <v>1.1000000000000001</v>
      </c>
      <c r="AY232" s="1">
        <v>15.7</v>
      </c>
      <c r="BB232" s="1">
        <v>31.3</v>
      </c>
      <c r="BD232" s="1">
        <v>9.1800000000000007E-2</v>
      </c>
      <c r="BF232" s="1">
        <v>0.8</v>
      </c>
      <c r="BG232" s="1">
        <v>34.299999999999997</v>
      </c>
      <c r="BJ232" s="1">
        <v>30.5</v>
      </c>
      <c r="BK232" s="1">
        <v>3.7600000000000001E-2</v>
      </c>
      <c r="BP232" s="1">
        <v>183</v>
      </c>
      <c r="BW232" s="1">
        <v>2.2000000000000002</v>
      </c>
      <c r="DU232" s="1">
        <v>443.7</v>
      </c>
      <c r="DV232" s="1">
        <v>933.3</v>
      </c>
      <c r="DX232" s="1">
        <v>1224</v>
      </c>
      <c r="EA232" s="1">
        <v>1851.3</v>
      </c>
      <c r="EB232" s="1">
        <v>443.7</v>
      </c>
      <c r="EC232" s="1">
        <v>612</v>
      </c>
      <c r="EF232" s="1">
        <v>443.7</v>
      </c>
      <c r="EG232" s="1">
        <v>673.2</v>
      </c>
      <c r="EH232" s="1">
        <v>627.29999999999995</v>
      </c>
      <c r="EI232" s="1">
        <v>948.6</v>
      </c>
      <c r="EK232" s="1">
        <v>581.4</v>
      </c>
      <c r="EL232" s="1">
        <v>550.79999999999995</v>
      </c>
      <c r="EM232" s="1">
        <v>627.29999999999995</v>
      </c>
      <c r="EO232" s="1">
        <v>765</v>
      </c>
      <c r="EQ232" s="1">
        <v>1224</v>
      </c>
      <c r="ER232" s="1">
        <v>826.2</v>
      </c>
    </row>
    <row r="233" spans="1:148" x14ac:dyDescent="0.2">
      <c r="A233" s="1" t="s">
        <v>2376</v>
      </c>
      <c r="B233" s="1" t="s">
        <v>55</v>
      </c>
      <c r="C233" s="1" t="s">
        <v>2336</v>
      </c>
      <c r="E233" s="1">
        <v>37</v>
      </c>
      <c r="F233" s="1" t="s">
        <v>2043</v>
      </c>
      <c r="H233" s="1" t="s">
        <v>2377</v>
      </c>
      <c r="I233" s="1" t="s">
        <v>7</v>
      </c>
      <c r="J233" s="1" t="s">
        <v>2046</v>
      </c>
      <c r="K233" s="1" t="s">
        <v>2047</v>
      </c>
      <c r="L233" s="1" t="s">
        <v>2046</v>
      </c>
      <c r="M233" s="1" t="s">
        <v>2378</v>
      </c>
      <c r="O233" s="1">
        <v>1</v>
      </c>
      <c r="Q233" s="1">
        <v>1993</v>
      </c>
      <c r="R233" s="1" t="s">
        <v>2342</v>
      </c>
      <c r="S233" s="1" t="s">
        <v>27</v>
      </c>
      <c r="T233" s="6">
        <v>1</v>
      </c>
      <c r="Z233" s="1">
        <v>80</v>
      </c>
      <c r="AA233" s="1">
        <v>6.25</v>
      </c>
      <c r="AC233" s="1">
        <v>16.100000000000001</v>
      </c>
      <c r="AH233" s="1">
        <v>1.8</v>
      </c>
      <c r="AV233" s="1">
        <v>1.6</v>
      </c>
      <c r="AY233" s="1">
        <v>30.3</v>
      </c>
      <c r="BB233" s="1">
        <v>31.8</v>
      </c>
      <c r="BD233" s="1">
        <v>8.4900000000000003E-2</v>
      </c>
      <c r="BF233" s="1">
        <v>1.3</v>
      </c>
      <c r="BG233" s="1">
        <v>21.7</v>
      </c>
      <c r="BJ233" s="1">
        <v>32.299999999999997</v>
      </c>
      <c r="BK233" s="1">
        <v>4.24E-2</v>
      </c>
      <c r="BP233" s="1">
        <v>206</v>
      </c>
      <c r="BW233" s="1">
        <v>2.2999999999999998</v>
      </c>
      <c r="DU233" s="1">
        <v>933.8</v>
      </c>
      <c r="DV233" s="1">
        <v>821.1</v>
      </c>
      <c r="DX233" s="1">
        <v>1449</v>
      </c>
      <c r="EA233" s="1">
        <v>2157.4</v>
      </c>
      <c r="EB233" s="1">
        <v>483</v>
      </c>
      <c r="EC233" s="1">
        <v>660.1</v>
      </c>
      <c r="EF233" s="1">
        <v>805</v>
      </c>
      <c r="EG233" s="1">
        <v>1110.9000000000001</v>
      </c>
      <c r="EH233" s="1">
        <v>1352.4</v>
      </c>
      <c r="EI233" s="1">
        <v>450.8</v>
      </c>
      <c r="EK233" s="1">
        <v>627.9</v>
      </c>
      <c r="EL233" s="1">
        <v>676.2</v>
      </c>
      <c r="EM233" s="1">
        <v>547.4</v>
      </c>
      <c r="EO233" s="1">
        <v>660.1</v>
      </c>
      <c r="EQ233" s="1">
        <v>644</v>
      </c>
      <c r="ER233" s="1">
        <v>933.8</v>
      </c>
    </row>
    <row r="234" spans="1:148" x14ac:dyDescent="0.2">
      <c r="A234" s="1" t="s">
        <v>2379</v>
      </c>
      <c r="B234" s="1" t="s">
        <v>55</v>
      </c>
      <c r="C234" s="1" t="s">
        <v>2336</v>
      </c>
      <c r="E234" s="1">
        <v>34</v>
      </c>
      <c r="F234" s="1" t="s">
        <v>2380</v>
      </c>
      <c r="H234" s="1" t="s">
        <v>2381</v>
      </c>
      <c r="I234" s="1" t="s">
        <v>7</v>
      </c>
      <c r="J234" s="1" t="s">
        <v>2382</v>
      </c>
      <c r="K234" s="1" t="s">
        <v>2383</v>
      </c>
      <c r="L234" s="1" t="s">
        <v>2384</v>
      </c>
      <c r="M234" s="1" t="s">
        <v>2385</v>
      </c>
      <c r="O234" s="1">
        <v>1</v>
      </c>
      <c r="Q234" s="1">
        <v>1993</v>
      </c>
      <c r="R234" s="1" t="s">
        <v>2342</v>
      </c>
      <c r="S234" s="1" t="s">
        <v>27</v>
      </c>
      <c r="T234" s="6">
        <v>1</v>
      </c>
      <c r="Z234" s="1">
        <v>76</v>
      </c>
      <c r="AA234" s="1">
        <v>6.25</v>
      </c>
      <c r="AC234" s="1">
        <v>18.399999999999999</v>
      </c>
      <c r="AH234" s="1">
        <v>1.7</v>
      </c>
      <c r="AV234" s="1">
        <v>1.3</v>
      </c>
      <c r="AY234" s="1">
        <v>11.2</v>
      </c>
      <c r="BB234" s="1">
        <v>36.4</v>
      </c>
      <c r="BD234" s="1">
        <v>0.1003</v>
      </c>
      <c r="BF234" s="1">
        <v>0.8</v>
      </c>
      <c r="BG234" s="1">
        <v>6.8</v>
      </c>
      <c r="BJ234" s="1">
        <v>30.2</v>
      </c>
      <c r="BK234" s="1">
        <v>3.4799999999999998E-2</v>
      </c>
      <c r="BP234" s="1">
        <v>187</v>
      </c>
      <c r="BW234" s="1">
        <v>1.7</v>
      </c>
      <c r="DU234" s="1">
        <v>1288</v>
      </c>
      <c r="DV234" s="1">
        <v>920</v>
      </c>
      <c r="DX234" s="1">
        <v>1472</v>
      </c>
      <c r="EA234" s="1">
        <v>2576</v>
      </c>
      <c r="EB234" s="1">
        <v>533.6</v>
      </c>
      <c r="EC234" s="1">
        <v>717.6</v>
      </c>
      <c r="EF234" s="1">
        <v>883.2</v>
      </c>
      <c r="EG234" s="1">
        <v>1306.4000000000001</v>
      </c>
      <c r="EH234" s="1">
        <v>1913.6</v>
      </c>
      <c r="EI234" s="1">
        <v>533.6</v>
      </c>
      <c r="EK234" s="1">
        <v>846.4</v>
      </c>
      <c r="EL234" s="1">
        <v>1067.2</v>
      </c>
      <c r="EM234" s="1">
        <v>772.8</v>
      </c>
      <c r="EO234" s="1">
        <v>772.8</v>
      </c>
      <c r="EQ234" s="1">
        <v>717.6</v>
      </c>
      <c r="ER234" s="1">
        <v>1048.8</v>
      </c>
    </row>
    <row r="235" spans="1:148" x14ac:dyDescent="0.2">
      <c r="A235" s="1" t="s">
        <v>2386</v>
      </c>
      <c r="B235" s="1" t="s">
        <v>55</v>
      </c>
      <c r="C235" s="1" t="s">
        <v>2336</v>
      </c>
      <c r="E235" s="1">
        <v>37</v>
      </c>
      <c r="F235" s="1" t="s">
        <v>2023</v>
      </c>
      <c r="H235" s="1" t="s">
        <v>2387</v>
      </c>
      <c r="I235" s="1" t="s">
        <v>7</v>
      </c>
      <c r="J235" s="1" t="s">
        <v>2026</v>
      </c>
      <c r="K235" s="1" t="s">
        <v>2027</v>
      </c>
      <c r="L235" s="1" t="s">
        <v>2026</v>
      </c>
      <c r="M235" s="1" t="s">
        <v>2388</v>
      </c>
      <c r="O235" s="1">
        <v>1</v>
      </c>
      <c r="Q235" s="1">
        <v>1993</v>
      </c>
      <c r="R235" s="1" t="s">
        <v>2342</v>
      </c>
      <c r="S235" s="1" t="s">
        <v>27</v>
      </c>
      <c r="T235" s="6">
        <v>1</v>
      </c>
      <c r="Z235" s="1">
        <v>76.5</v>
      </c>
      <c r="AA235" s="1">
        <v>6.25</v>
      </c>
      <c r="AC235" s="1">
        <v>19.5</v>
      </c>
      <c r="AH235" s="1">
        <v>1.7</v>
      </c>
      <c r="AV235" s="1">
        <v>1.3</v>
      </c>
      <c r="AY235" s="1">
        <v>21.6</v>
      </c>
      <c r="BB235" s="1">
        <v>19.2</v>
      </c>
      <c r="BD235" s="1">
        <v>4.3900000000000002E-2</v>
      </c>
      <c r="BF235" s="1">
        <v>0.5</v>
      </c>
      <c r="BG235" s="1">
        <v>20.8</v>
      </c>
      <c r="BJ235" s="1">
        <v>31.5</v>
      </c>
      <c r="BK235" s="1">
        <v>1.0999999999999999E-2</v>
      </c>
      <c r="BP235" s="1">
        <v>173</v>
      </c>
      <c r="BW235" s="1">
        <v>1.5</v>
      </c>
      <c r="DU235" s="1">
        <v>1345.5</v>
      </c>
      <c r="DV235" s="1">
        <v>1150.5</v>
      </c>
      <c r="DX235" s="1">
        <v>1716</v>
      </c>
      <c r="EA235" s="1">
        <v>3139.5</v>
      </c>
      <c r="EB235" s="1">
        <v>604.5</v>
      </c>
      <c r="EC235" s="1">
        <v>604.5</v>
      </c>
      <c r="EF235" s="1">
        <v>916.5</v>
      </c>
      <c r="EG235" s="1">
        <v>1482</v>
      </c>
      <c r="EH235" s="1">
        <v>2106</v>
      </c>
      <c r="EI235" s="1">
        <v>604.5</v>
      </c>
      <c r="EK235" s="1">
        <v>975</v>
      </c>
      <c r="EL235" s="1">
        <v>1053</v>
      </c>
      <c r="EM235" s="1">
        <v>799.5</v>
      </c>
      <c r="EO235" s="1">
        <v>780</v>
      </c>
      <c r="EQ235" s="1">
        <v>799.5</v>
      </c>
      <c r="ER235" s="1">
        <v>975</v>
      </c>
    </row>
    <row r="236" spans="1:148" x14ac:dyDescent="0.2">
      <c r="A236" s="1" t="s">
        <v>2389</v>
      </c>
      <c r="B236" s="1" t="s">
        <v>55</v>
      </c>
      <c r="C236" s="1" t="s">
        <v>2336</v>
      </c>
      <c r="E236" s="1">
        <v>37</v>
      </c>
      <c r="F236" s="1" t="s">
        <v>2390</v>
      </c>
      <c r="H236" s="1" t="s">
        <v>2391</v>
      </c>
      <c r="I236" s="1" t="s">
        <v>7</v>
      </c>
      <c r="J236" s="1" t="s">
        <v>2392</v>
      </c>
      <c r="K236" s="1" t="s">
        <v>2393</v>
      </c>
      <c r="L236" s="1" t="s">
        <v>2394</v>
      </c>
      <c r="M236" s="1" t="s">
        <v>2385</v>
      </c>
      <c r="O236" s="1">
        <v>1</v>
      </c>
      <c r="Q236" s="1">
        <v>1993</v>
      </c>
      <c r="R236" s="1" t="s">
        <v>2342</v>
      </c>
      <c r="S236" s="1" t="s">
        <v>27</v>
      </c>
      <c r="T236" s="6">
        <v>1</v>
      </c>
      <c r="Z236" s="1">
        <v>75.3</v>
      </c>
      <c r="AA236" s="1">
        <v>6.25</v>
      </c>
      <c r="AC236" s="1">
        <v>19.8</v>
      </c>
      <c r="AH236" s="1">
        <v>1.4</v>
      </c>
      <c r="AV236" s="1">
        <v>1.5</v>
      </c>
      <c r="AY236" s="1">
        <v>8.9</v>
      </c>
      <c r="BB236" s="1">
        <v>48.8</v>
      </c>
      <c r="BD236" s="1">
        <v>7.8E-2</v>
      </c>
      <c r="BF236" s="1">
        <v>1.8</v>
      </c>
      <c r="BG236" s="1">
        <v>27.3</v>
      </c>
      <c r="BJ236" s="1">
        <v>42.7</v>
      </c>
      <c r="BK236" s="1">
        <v>3.2500000000000001E-2</v>
      </c>
      <c r="BP236" s="1">
        <v>234</v>
      </c>
      <c r="BW236" s="1">
        <v>2.5</v>
      </c>
      <c r="DU236" s="1">
        <v>1148.4000000000001</v>
      </c>
      <c r="DV236" s="1">
        <v>1188</v>
      </c>
      <c r="DX236" s="1">
        <v>1742.4</v>
      </c>
      <c r="EA236" s="1">
        <v>2593.8000000000002</v>
      </c>
      <c r="EB236" s="1">
        <v>574.20000000000005</v>
      </c>
      <c r="EC236" s="1">
        <v>574.20000000000005</v>
      </c>
      <c r="EF236" s="1">
        <v>772.2</v>
      </c>
      <c r="EG236" s="1">
        <v>1603.8</v>
      </c>
      <c r="EH236" s="1">
        <v>1801.8</v>
      </c>
      <c r="EI236" s="1">
        <v>712.8</v>
      </c>
      <c r="EK236" s="1">
        <v>1009.8</v>
      </c>
      <c r="EL236" s="1">
        <v>752.4</v>
      </c>
      <c r="EM236" s="1">
        <v>772.2</v>
      </c>
      <c r="EO236" s="1">
        <v>772.2</v>
      </c>
      <c r="EQ236" s="1">
        <v>831.6</v>
      </c>
      <c r="ER236" s="1">
        <v>1207.8</v>
      </c>
    </row>
    <row r="237" spans="1:148" x14ac:dyDescent="0.2">
      <c r="A237" s="1" t="s">
        <v>2395</v>
      </c>
      <c r="B237" s="1" t="s">
        <v>55</v>
      </c>
      <c r="C237" s="1" t="s">
        <v>2336</v>
      </c>
      <c r="E237" s="1">
        <v>33</v>
      </c>
      <c r="F237" s="1" t="s">
        <v>2396</v>
      </c>
      <c r="H237" s="1" t="s">
        <v>2397</v>
      </c>
      <c r="I237" s="1" t="s">
        <v>7</v>
      </c>
      <c r="J237" s="1" t="s">
        <v>2398</v>
      </c>
      <c r="K237" s="1" t="s">
        <v>2399</v>
      </c>
      <c r="L237" s="1" t="s">
        <v>2398</v>
      </c>
      <c r="M237" s="1" t="s">
        <v>2400</v>
      </c>
      <c r="O237" s="1">
        <v>1</v>
      </c>
      <c r="Q237" s="1">
        <v>1993</v>
      </c>
      <c r="R237" s="1" t="s">
        <v>2342</v>
      </c>
      <c r="S237" s="1" t="s">
        <v>27</v>
      </c>
      <c r="T237" s="6">
        <v>1</v>
      </c>
      <c r="Z237" s="1">
        <v>79.5</v>
      </c>
      <c r="AA237" s="1">
        <v>6.25</v>
      </c>
      <c r="AC237" s="1">
        <v>15.3</v>
      </c>
      <c r="AH237" s="1">
        <v>1.3</v>
      </c>
      <c r="AV237" s="1">
        <v>1.5</v>
      </c>
      <c r="AY237" s="1">
        <v>15</v>
      </c>
      <c r="BB237" s="1">
        <v>58.5</v>
      </c>
      <c r="BD237" s="1">
        <v>9.9500000000000005E-2</v>
      </c>
      <c r="BF237" s="1">
        <v>1.7</v>
      </c>
      <c r="BG237" s="1">
        <v>22.9</v>
      </c>
      <c r="BJ237" s="1">
        <v>43.6</v>
      </c>
      <c r="BK237" s="1">
        <v>7.8E-2</v>
      </c>
      <c r="BP237" s="1">
        <v>228</v>
      </c>
      <c r="BW237" s="1">
        <v>1.8</v>
      </c>
      <c r="DU237" s="1">
        <v>948.6</v>
      </c>
      <c r="DV237" s="1">
        <v>902.7</v>
      </c>
      <c r="DX237" s="1">
        <v>1377</v>
      </c>
      <c r="EA237" s="1">
        <v>2157.3000000000002</v>
      </c>
      <c r="EB237" s="1">
        <v>459</v>
      </c>
      <c r="EC237" s="1">
        <v>612</v>
      </c>
      <c r="EF237" s="1">
        <v>612</v>
      </c>
      <c r="EG237" s="1">
        <v>1224</v>
      </c>
      <c r="EH237" s="1">
        <v>1361.7</v>
      </c>
      <c r="EI237" s="1">
        <v>566.1</v>
      </c>
      <c r="EK237" s="1">
        <v>734.4</v>
      </c>
      <c r="EL237" s="1">
        <v>627.29999999999995</v>
      </c>
      <c r="EM237" s="1">
        <v>627.29999999999995</v>
      </c>
      <c r="EO237" s="1">
        <v>612</v>
      </c>
      <c r="EQ237" s="1">
        <v>596.70000000000005</v>
      </c>
      <c r="ER237" s="1">
        <v>887.4</v>
      </c>
    </row>
    <row r="238" spans="1:148" x14ac:dyDescent="0.2">
      <c r="A238" s="1" t="s">
        <v>2401</v>
      </c>
      <c r="B238" s="1" t="s">
        <v>55</v>
      </c>
      <c r="C238" s="1" t="s">
        <v>2336</v>
      </c>
      <c r="E238" s="1">
        <v>35</v>
      </c>
      <c r="F238" s="1" t="s">
        <v>2029</v>
      </c>
      <c r="H238" s="1" t="s">
        <v>2402</v>
      </c>
      <c r="I238" s="1" t="s">
        <v>7</v>
      </c>
      <c r="J238" s="1" t="s">
        <v>2034</v>
      </c>
      <c r="K238" s="1" t="s">
        <v>2033</v>
      </c>
      <c r="L238" s="1" t="s">
        <v>2034</v>
      </c>
      <c r="M238" s="1" t="s">
        <v>2403</v>
      </c>
      <c r="O238" s="1">
        <v>1</v>
      </c>
      <c r="Q238" s="1">
        <v>1993</v>
      </c>
      <c r="R238" s="1" t="s">
        <v>2342</v>
      </c>
      <c r="S238" s="1" t="s">
        <v>27</v>
      </c>
      <c r="T238" s="6">
        <v>1</v>
      </c>
      <c r="Z238" s="1">
        <v>77.599999999999994</v>
      </c>
      <c r="AA238" s="1">
        <v>6.25</v>
      </c>
      <c r="AC238" s="1">
        <v>17.100000000000001</v>
      </c>
      <c r="AH238" s="1">
        <v>1.2</v>
      </c>
      <c r="AV238" s="1">
        <v>1.6</v>
      </c>
      <c r="AY238" s="1">
        <v>51.4</v>
      </c>
      <c r="BB238" s="1">
        <v>40.4</v>
      </c>
      <c r="BD238" s="1">
        <v>0.10100000000000001</v>
      </c>
      <c r="BF238" s="1">
        <v>1.1000000000000001</v>
      </c>
      <c r="BG238" s="1">
        <v>38.5</v>
      </c>
      <c r="BJ238" s="1">
        <v>50.6</v>
      </c>
      <c r="BK238" s="1">
        <v>0.06</v>
      </c>
      <c r="BP238" s="1">
        <v>251</v>
      </c>
      <c r="BW238" s="1">
        <v>1.6</v>
      </c>
      <c r="DU238" s="1">
        <v>1231.2</v>
      </c>
      <c r="DV238" s="1">
        <v>837.9</v>
      </c>
      <c r="DX238" s="1">
        <v>1710</v>
      </c>
      <c r="EA238" s="1">
        <v>2736</v>
      </c>
      <c r="EB238" s="1">
        <v>615.6</v>
      </c>
      <c r="EC238" s="1">
        <v>666.9</v>
      </c>
      <c r="EF238" s="1">
        <v>701.1</v>
      </c>
      <c r="EG238" s="1">
        <v>1350.9</v>
      </c>
      <c r="EH238" s="1">
        <v>1710</v>
      </c>
      <c r="EI238" s="1">
        <v>478.8</v>
      </c>
      <c r="EK238" s="1">
        <v>855</v>
      </c>
      <c r="EL238" s="1">
        <v>666.9</v>
      </c>
      <c r="EM238" s="1">
        <v>666.9</v>
      </c>
      <c r="EO238" s="1">
        <v>855</v>
      </c>
      <c r="EQ238" s="1">
        <v>530.1</v>
      </c>
      <c r="ER238" s="1">
        <v>1008.9</v>
      </c>
    </row>
    <row r="239" spans="1:148" x14ac:dyDescent="0.2">
      <c r="A239" s="1" t="s">
        <v>2404</v>
      </c>
      <c r="B239" s="1" t="s">
        <v>55</v>
      </c>
      <c r="C239" s="1" t="s">
        <v>2336</v>
      </c>
      <c r="E239" s="1">
        <v>33</v>
      </c>
      <c r="F239" s="1" t="s">
        <v>2405</v>
      </c>
      <c r="H239" s="1" t="s">
        <v>2406</v>
      </c>
      <c r="I239" s="1" t="s">
        <v>7</v>
      </c>
      <c r="J239" s="1" t="s">
        <v>2407</v>
      </c>
      <c r="K239" s="1" t="s">
        <v>2408</v>
      </c>
      <c r="L239" s="1" t="s">
        <v>2409</v>
      </c>
      <c r="M239" s="1" t="s">
        <v>2410</v>
      </c>
      <c r="O239" s="1">
        <v>1</v>
      </c>
      <c r="Q239" s="1">
        <v>1993</v>
      </c>
      <c r="R239" s="1" t="s">
        <v>2342</v>
      </c>
      <c r="S239" s="1" t="s">
        <v>27</v>
      </c>
      <c r="T239" s="6">
        <v>1</v>
      </c>
      <c r="Z239" s="1">
        <v>77.099999999999994</v>
      </c>
      <c r="AA239" s="1">
        <v>6.25</v>
      </c>
      <c r="AC239" s="1">
        <v>18.100000000000001</v>
      </c>
      <c r="AH239" s="1">
        <v>1.2</v>
      </c>
      <c r="AV239" s="1">
        <v>1.3</v>
      </c>
      <c r="AY239" s="1">
        <v>4.7</v>
      </c>
      <c r="BB239" s="1">
        <v>36.5</v>
      </c>
      <c r="BD239" s="1">
        <v>7.6499999999999999E-2</v>
      </c>
      <c r="BF239" s="1">
        <v>0.8</v>
      </c>
      <c r="BG239" s="1">
        <v>15.4</v>
      </c>
      <c r="BJ239" s="1">
        <v>48.3</v>
      </c>
      <c r="BK239" s="1">
        <v>2.7799999999999998E-2</v>
      </c>
      <c r="BP239" s="1">
        <v>208</v>
      </c>
      <c r="BW239" s="1">
        <v>1.5</v>
      </c>
      <c r="DU239" s="1">
        <v>1212.7</v>
      </c>
      <c r="DV239" s="1">
        <v>923.1</v>
      </c>
      <c r="DX239" s="1">
        <v>1701.4</v>
      </c>
      <c r="EA239" s="1">
        <v>2425.4</v>
      </c>
      <c r="EB239" s="1">
        <v>669.7</v>
      </c>
      <c r="EC239" s="1">
        <v>524.9</v>
      </c>
      <c r="EF239" s="1">
        <v>832.6</v>
      </c>
      <c r="EG239" s="1">
        <v>1267</v>
      </c>
      <c r="EH239" s="1">
        <v>1610.9</v>
      </c>
      <c r="EI239" s="1">
        <v>524.9</v>
      </c>
      <c r="EK239" s="1">
        <v>886.9</v>
      </c>
      <c r="EL239" s="1">
        <v>832.6</v>
      </c>
      <c r="EM239" s="1">
        <v>724</v>
      </c>
      <c r="EO239" s="1">
        <v>886.9</v>
      </c>
      <c r="EQ239" s="1">
        <v>651.6</v>
      </c>
      <c r="ER239" s="1">
        <v>905</v>
      </c>
    </row>
    <row r="240" spans="1:148" x14ac:dyDescent="0.2">
      <c r="A240" s="1" t="s">
        <v>2411</v>
      </c>
      <c r="B240" s="1" t="s">
        <v>55</v>
      </c>
      <c r="C240" s="1" t="s">
        <v>2336</v>
      </c>
      <c r="E240" s="1">
        <v>33</v>
      </c>
      <c r="F240" s="1" t="s">
        <v>2412</v>
      </c>
      <c r="H240" s="1" t="s">
        <v>2413</v>
      </c>
      <c r="I240" s="1" t="s">
        <v>7</v>
      </c>
      <c r="J240" s="1" t="s">
        <v>2414</v>
      </c>
      <c r="K240" s="1" t="s">
        <v>2415</v>
      </c>
      <c r="L240" s="1" t="s">
        <v>2416</v>
      </c>
      <c r="M240" s="1" t="s">
        <v>2417</v>
      </c>
      <c r="O240" s="1">
        <v>1</v>
      </c>
      <c r="Q240" s="1">
        <v>1993</v>
      </c>
      <c r="R240" s="1" t="s">
        <v>2342</v>
      </c>
      <c r="S240" s="1" t="s">
        <v>27</v>
      </c>
      <c r="T240" s="6">
        <v>1</v>
      </c>
      <c r="Z240" s="1">
        <v>89.8</v>
      </c>
      <c r="AA240" s="1">
        <v>6.25</v>
      </c>
      <c r="AC240" s="1">
        <v>8</v>
      </c>
      <c r="AH240" s="1">
        <v>0.8</v>
      </c>
      <c r="AV240" s="1">
        <v>0.9</v>
      </c>
      <c r="AY240" s="1">
        <v>19.8</v>
      </c>
      <c r="BB240" s="1">
        <v>28.9</v>
      </c>
      <c r="BD240" s="1">
        <v>3.85E-2</v>
      </c>
      <c r="BF240" s="1">
        <v>0.7</v>
      </c>
      <c r="BG240" s="1">
        <v>18.7</v>
      </c>
      <c r="BJ240" s="1">
        <v>32.1</v>
      </c>
      <c r="BK240" s="1">
        <v>4.4900000000000002E-2</v>
      </c>
      <c r="BP240" s="1">
        <v>116</v>
      </c>
      <c r="BW240" s="1">
        <v>2.7</v>
      </c>
      <c r="DU240" s="1">
        <v>400</v>
      </c>
      <c r="DV240" s="1">
        <v>472</v>
      </c>
      <c r="DX240" s="1">
        <v>824</v>
      </c>
      <c r="EA240" s="1">
        <v>1128</v>
      </c>
      <c r="EB240" s="1">
        <v>408</v>
      </c>
      <c r="EC240" s="1">
        <v>232</v>
      </c>
      <c r="EF240" s="1">
        <v>408</v>
      </c>
      <c r="EG240" s="1">
        <v>560</v>
      </c>
      <c r="EH240" s="1">
        <v>712</v>
      </c>
      <c r="EI240" s="1">
        <v>248</v>
      </c>
      <c r="EK240" s="1">
        <v>400</v>
      </c>
      <c r="EL240" s="1">
        <v>384</v>
      </c>
      <c r="EM240" s="1">
        <v>232</v>
      </c>
      <c r="EO240" s="1">
        <v>344</v>
      </c>
      <c r="EQ240" s="1">
        <v>328</v>
      </c>
      <c r="ER240" s="1">
        <v>400</v>
      </c>
    </row>
    <row r="241" spans="1:148" x14ac:dyDescent="0.2">
      <c r="A241" s="1" t="s">
        <v>2418</v>
      </c>
      <c r="B241" s="1" t="s">
        <v>55</v>
      </c>
      <c r="C241" s="1" t="s">
        <v>2336</v>
      </c>
      <c r="E241" s="1">
        <v>25</v>
      </c>
      <c r="F241" s="1" t="s">
        <v>2419</v>
      </c>
      <c r="H241" s="1" t="s">
        <v>2420</v>
      </c>
      <c r="I241" s="1" t="s">
        <v>7</v>
      </c>
      <c r="J241" s="1" t="s">
        <v>2421</v>
      </c>
      <c r="K241" s="1" t="s">
        <v>2422</v>
      </c>
      <c r="L241" s="1" t="s">
        <v>2421</v>
      </c>
      <c r="M241" s="1" t="s">
        <v>2423</v>
      </c>
      <c r="O241" s="1">
        <v>1</v>
      </c>
      <c r="Q241" s="1">
        <v>1993</v>
      </c>
      <c r="R241" s="1" t="s">
        <v>2342</v>
      </c>
      <c r="S241" s="1" t="s">
        <v>27</v>
      </c>
      <c r="T241" s="6">
        <v>1</v>
      </c>
      <c r="Z241" s="1" t="s">
        <v>2424</v>
      </c>
      <c r="AA241" s="1">
        <v>6.25</v>
      </c>
      <c r="AC241" s="1" t="s">
        <v>2425</v>
      </c>
      <c r="AH241" s="1" t="s">
        <v>2426</v>
      </c>
      <c r="AV241" s="1" t="s">
        <v>1568</v>
      </c>
      <c r="AY241" s="1">
        <v>8.8000000000000007</v>
      </c>
      <c r="BB241" s="1">
        <v>26.6</v>
      </c>
      <c r="BD241" s="1">
        <v>6.3700000000000007E-2</v>
      </c>
      <c r="BF241" s="1">
        <v>0.7</v>
      </c>
      <c r="BG241" s="1">
        <v>36.9</v>
      </c>
      <c r="BJ241" s="1">
        <v>39</v>
      </c>
      <c r="BK241" s="1">
        <v>2.8299999999999999E-2</v>
      </c>
      <c r="BP241" s="1">
        <v>214</v>
      </c>
      <c r="BW241" s="1">
        <v>1.1000000000000001</v>
      </c>
      <c r="DU241" s="1">
        <v>1024</v>
      </c>
      <c r="DV241" s="1">
        <v>816</v>
      </c>
      <c r="DX241" s="1">
        <v>1440</v>
      </c>
      <c r="EA241" s="1">
        <v>2560</v>
      </c>
      <c r="EB241" s="1">
        <v>480</v>
      </c>
      <c r="EC241" s="1">
        <v>624</v>
      </c>
      <c r="EF241" s="1">
        <v>832</v>
      </c>
      <c r="EG241" s="1">
        <v>1216</v>
      </c>
      <c r="EH241" s="1">
        <v>1408</v>
      </c>
      <c r="EI241" s="1">
        <v>496</v>
      </c>
      <c r="EK241" s="1">
        <v>784</v>
      </c>
      <c r="EL241" s="1">
        <v>480</v>
      </c>
      <c r="EM241" s="1">
        <v>464</v>
      </c>
      <c r="EO241" s="1">
        <v>656</v>
      </c>
      <c r="EQ241" s="1">
        <v>624</v>
      </c>
      <c r="ER241" s="1">
        <v>816</v>
      </c>
    </row>
    <row r="242" spans="1:148" x14ac:dyDescent="0.2">
      <c r="A242" s="1" t="s">
        <v>2427</v>
      </c>
      <c r="B242" s="1" t="s">
        <v>55</v>
      </c>
      <c r="C242" s="1" t="s">
        <v>2336</v>
      </c>
      <c r="E242" s="1">
        <v>38</v>
      </c>
      <c r="F242" s="1" t="s">
        <v>2428</v>
      </c>
      <c r="H242" s="1" t="s">
        <v>2429</v>
      </c>
      <c r="I242" s="1" t="s">
        <v>7</v>
      </c>
      <c r="J242" s="1" t="s">
        <v>2430</v>
      </c>
      <c r="K242" s="1" t="s">
        <v>2431</v>
      </c>
      <c r="L242" s="1" t="s">
        <v>2432</v>
      </c>
      <c r="M242" s="1" t="s">
        <v>2433</v>
      </c>
      <c r="O242" s="1">
        <v>1</v>
      </c>
      <c r="Q242" s="1">
        <v>1993</v>
      </c>
      <c r="R242" s="1" t="s">
        <v>2342</v>
      </c>
      <c r="S242" s="1" t="s">
        <v>27</v>
      </c>
      <c r="T242" s="6">
        <v>1</v>
      </c>
      <c r="Z242" s="1">
        <v>79.5</v>
      </c>
      <c r="AA242" s="1">
        <v>6.25</v>
      </c>
      <c r="AC242" s="1">
        <v>16.7</v>
      </c>
      <c r="AH242" s="1">
        <v>0.8</v>
      </c>
      <c r="AV242" s="1">
        <v>1.6</v>
      </c>
      <c r="AY242" s="1">
        <v>19.3</v>
      </c>
      <c r="BB242" s="1">
        <v>37.6</v>
      </c>
      <c r="BD242" s="1">
        <v>5.7799999999999997E-2</v>
      </c>
      <c r="BF242" s="1">
        <v>0.9</v>
      </c>
      <c r="BG242" s="1">
        <v>32.6</v>
      </c>
      <c r="BJ242" s="1">
        <v>29</v>
      </c>
      <c r="BK242" s="1">
        <v>3.85E-2</v>
      </c>
      <c r="BP242" s="1">
        <v>204</v>
      </c>
      <c r="BW242" s="1">
        <v>1.5</v>
      </c>
      <c r="DU242" s="1">
        <v>835</v>
      </c>
      <c r="DV242" s="1">
        <v>901.8</v>
      </c>
      <c r="DX242" s="1">
        <v>1402.8</v>
      </c>
      <c r="EA242" s="1">
        <v>2321.3000000000002</v>
      </c>
      <c r="EB242" s="1">
        <v>651.29999999999995</v>
      </c>
      <c r="EC242" s="1">
        <v>651.29999999999995</v>
      </c>
      <c r="EF242" s="1">
        <v>851.7</v>
      </c>
      <c r="EG242" s="1">
        <v>1185.7</v>
      </c>
      <c r="EH242" s="1">
        <v>1553.1</v>
      </c>
      <c r="EI242" s="1">
        <v>684.7</v>
      </c>
      <c r="EK242" s="1">
        <v>668</v>
      </c>
      <c r="EL242" s="1">
        <v>601.20000000000005</v>
      </c>
      <c r="EM242" s="1">
        <v>400.8</v>
      </c>
      <c r="EO242" s="1">
        <v>651.29999999999995</v>
      </c>
      <c r="EQ242" s="1">
        <v>517.70000000000005</v>
      </c>
      <c r="ER242" s="1">
        <v>835</v>
      </c>
    </row>
    <row r="243" spans="1:148" x14ac:dyDescent="0.2">
      <c r="A243" s="1" t="s">
        <v>2434</v>
      </c>
      <c r="B243" s="1" t="s">
        <v>55</v>
      </c>
      <c r="C243" s="1" t="s">
        <v>2336</v>
      </c>
      <c r="E243" s="1">
        <v>33</v>
      </c>
      <c r="F243" s="1" t="s">
        <v>2435</v>
      </c>
      <c r="H243" s="1" t="s">
        <v>2436</v>
      </c>
      <c r="I243" s="1" t="s">
        <v>7</v>
      </c>
      <c r="J243" s="1" t="s">
        <v>2437</v>
      </c>
      <c r="L243" s="1" t="s">
        <v>2438</v>
      </c>
      <c r="M243" s="1" t="s">
        <v>2439</v>
      </c>
      <c r="O243" s="1">
        <v>1</v>
      </c>
      <c r="Q243" s="1">
        <v>1993</v>
      </c>
      <c r="R243" s="1" t="s">
        <v>2342</v>
      </c>
      <c r="S243" s="1" t="s">
        <v>27</v>
      </c>
      <c r="T243" s="6">
        <v>1</v>
      </c>
      <c r="Z243" s="1">
        <v>75.5</v>
      </c>
      <c r="AA243" s="1">
        <v>6.25</v>
      </c>
      <c r="AC243" s="1">
        <v>21</v>
      </c>
      <c r="AH243" s="1">
        <v>1.4</v>
      </c>
      <c r="AV243" s="1">
        <v>2</v>
      </c>
      <c r="AY243" s="1">
        <v>6.2</v>
      </c>
      <c r="BB243" s="1">
        <v>62</v>
      </c>
      <c r="BD243" s="1">
        <v>5.5399999999999998E-2</v>
      </c>
      <c r="BF243" s="1">
        <v>1.4</v>
      </c>
      <c r="BG243" s="1">
        <v>26.9</v>
      </c>
      <c r="BJ243" s="1">
        <v>44.1</v>
      </c>
      <c r="BK243" s="1">
        <v>2.7699999999999999E-2</v>
      </c>
      <c r="BP243" s="1">
        <v>176</v>
      </c>
      <c r="BW243" s="1">
        <v>1.7</v>
      </c>
      <c r="DU243" s="1">
        <v>1176</v>
      </c>
      <c r="DV243" s="1">
        <v>1071</v>
      </c>
      <c r="DX243" s="1">
        <v>1554</v>
      </c>
      <c r="EA243" s="1">
        <v>3129</v>
      </c>
      <c r="EB243" s="1">
        <v>651</v>
      </c>
      <c r="EC243" s="1">
        <v>483</v>
      </c>
      <c r="EF243" s="1">
        <v>840</v>
      </c>
      <c r="EG243" s="1">
        <v>1491</v>
      </c>
      <c r="EH243" s="1">
        <v>1680</v>
      </c>
      <c r="EI243" s="1">
        <v>630</v>
      </c>
      <c r="EK243" s="1">
        <v>1029</v>
      </c>
      <c r="EL243" s="1">
        <v>798</v>
      </c>
      <c r="EM243" s="1">
        <v>651</v>
      </c>
      <c r="EO243" s="1">
        <v>1071</v>
      </c>
      <c r="EQ243" s="1">
        <v>714</v>
      </c>
      <c r="ER243" s="1">
        <v>1029</v>
      </c>
    </row>
    <row r="244" spans="1:148" x14ac:dyDescent="0.2">
      <c r="A244" s="1" t="s">
        <v>2440</v>
      </c>
      <c r="B244" s="1" t="s">
        <v>55</v>
      </c>
      <c r="C244" s="1" t="s">
        <v>2336</v>
      </c>
      <c r="E244" s="1">
        <v>13</v>
      </c>
      <c r="F244" s="1" t="s">
        <v>2441</v>
      </c>
      <c r="H244" s="1" t="s">
        <v>2442</v>
      </c>
      <c r="I244" s="1" t="s">
        <v>7</v>
      </c>
      <c r="J244" s="1" t="s">
        <v>2443</v>
      </c>
      <c r="K244" s="1" t="s">
        <v>2444</v>
      </c>
      <c r="L244" s="1" t="s">
        <v>2445</v>
      </c>
      <c r="M244" s="1" t="s">
        <v>2446</v>
      </c>
      <c r="O244" s="1">
        <v>1</v>
      </c>
      <c r="Q244" s="1">
        <v>1993</v>
      </c>
      <c r="R244" s="1" t="s">
        <v>2342</v>
      </c>
      <c r="S244" s="1" t="s">
        <v>27</v>
      </c>
      <c r="T244" s="6">
        <v>1</v>
      </c>
      <c r="Z244" s="1">
        <v>77.900000000000006</v>
      </c>
      <c r="AA244" s="1">
        <v>6.25</v>
      </c>
      <c r="AC244" s="1">
        <v>17.3</v>
      </c>
      <c r="AH244" s="1">
        <v>1.3</v>
      </c>
      <c r="AV244" s="1">
        <v>1.3</v>
      </c>
      <c r="AY244" s="1">
        <v>10.1</v>
      </c>
      <c r="BB244" s="1">
        <v>49.6</v>
      </c>
      <c r="BD244" s="1">
        <v>7.5399999999999995E-2</v>
      </c>
      <c r="BF244" s="1">
        <v>0.6</v>
      </c>
      <c r="BG244" s="1">
        <v>9.6</v>
      </c>
      <c r="BJ244" s="1">
        <v>54.3</v>
      </c>
      <c r="BK244" s="1">
        <v>2.3699999999999999E-2</v>
      </c>
      <c r="BP244" s="1">
        <v>205</v>
      </c>
      <c r="BW244" s="1">
        <v>1.5</v>
      </c>
      <c r="DU244" s="1">
        <v>1124.5</v>
      </c>
      <c r="DV244" s="1">
        <v>899.6</v>
      </c>
      <c r="DX244" s="1">
        <v>1453.2</v>
      </c>
      <c r="EA244" s="1">
        <v>2283.6</v>
      </c>
      <c r="EB244" s="1">
        <v>484.4</v>
      </c>
      <c r="EC244" s="1">
        <v>536.29999999999995</v>
      </c>
      <c r="EF244" s="1">
        <v>657.4</v>
      </c>
      <c r="EG244" s="1">
        <v>1176.4000000000001</v>
      </c>
      <c r="EH244" s="1">
        <v>1384</v>
      </c>
      <c r="EI244" s="1">
        <v>328.7</v>
      </c>
      <c r="EK244" s="1">
        <v>761.2</v>
      </c>
      <c r="EL244" s="1">
        <v>692</v>
      </c>
      <c r="EM244" s="1">
        <v>657.4</v>
      </c>
      <c r="EO244" s="1">
        <v>674.7</v>
      </c>
      <c r="EQ244" s="1">
        <v>692</v>
      </c>
      <c r="ER244" s="1">
        <v>761.2</v>
      </c>
    </row>
    <row r="245" spans="1:148" x14ac:dyDescent="0.2">
      <c r="A245" s="1" t="s">
        <v>2447</v>
      </c>
      <c r="B245" s="1" t="s">
        <v>55</v>
      </c>
      <c r="C245" s="1" t="s">
        <v>2336</v>
      </c>
      <c r="E245" s="1">
        <v>11</v>
      </c>
      <c r="F245" s="1" t="s">
        <v>2124</v>
      </c>
      <c r="H245" s="1" t="s">
        <v>2448</v>
      </c>
      <c r="I245" s="1" t="s">
        <v>7</v>
      </c>
      <c r="J245" s="1" t="s">
        <v>2165</v>
      </c>
      <c r="K245" s="1" t="s">
        <v>2128</v>
      </c>
      <c r="L245" s="1" t="s">
        <v>2165</v>
      </c>
      <c r="M245" s="1" t="s">
        <v>2449</v>
      </c>
      <c r="O245" s="1">
        <v>1</v>
      </c>
      <c r="Q245" s="1">
        <v>1993</v>
      </c>
      <c r="R245" s="1" t="s">
        <v>2342</v>
      </c>
      <c r="S245" s="1" t="s">
        <v>27</v>
      </c>
      <c r="T245" s="6">
        <v>1</v>
      </c>
      <c r="Z245" s="1">
        <v>82.8</v>
      </c>
      <c r="AA245" s="1">
        <v>6.25</v>
      </c>
      <c r="AC245" s="1">
        <v>13.5</v>
      </c>
      <c r="AH245" s="1">
        <v>0.6</v>
      </c>
      <c r="AV245" s="1">
        <v>1</v>
      </c>
      <c r="AY245" s="1">
        <v>12.9</v>
      </c>
      <c r="BB245" s="1">
        <v>50.3</v>
      </c>
      <c r="BD245" s="1">
        <v>4.7100000000000003E-2</v>
      </c>
      <c r="BF245" s="1">
        <v>0.7</v>
      </c>
      <c r="BG245" s="1">
        <v>15.5</v>
      </c>
      <c r="BJ245" s="1">
        <v>33.1</v>
      </c>
      <c r="BK245" s="1">
        <v>4.0500000000000001E-2</v>
      </c>
      <c r="BP245" s="1">
        <v>144</v>
      </c>
      <c r="BW245" s="1">
        <v>1.3</v>
      </c>
      <c r="DU245" s="1">
        <v>850.5</v>
      </c>
      <c r="DV245" s="1">
        <v>810</v>
      </c>
      <c r="DX245" s="1">
        <v>1377</v>
      </c>
      <c r="EA245" s="1">
        <v>1917</v>
      </c>
      <c r="EB245" s="1">
        <v>418.5</v>
      </c>
      <c r="EC245" s="1">
        <v>526.5</v>
      </c>
      <c r="EF245" s="1">
        <v>648</v>
      </c>
      <c r="EG245" s="1">
        <v>958.5</v>
      </c>
      <c r="EH245" s="1">
        <v>1350</v>
      </c>
      <c r="EI245" s="1">
        <v>364.5</v>
      </c>
      <c r="EK245" s="1">
        <v>553.5</v>
      </c>
      <c r="EL245" s="1">
        <v>567</v>
      </c>
      <c r="EM245" s="1">
        <v>378</v>
      </c>
      <c r="EO245" s="1">
        <v>648</v>
      </c>
      <c r="EQ245" s="1">
        <v>513</v>
      </c>
      <c r="ER245" s="1">
        <v>661.5</v>
      </c>
    </row>
    <row r="246" spans="1:148" x14ac:dyDescent="0.2">
      <c r="A246" s="1" t="s">
        <v>2450</v>
      </c>
      <c r="B246" s="1" t="s">
        <v>55</v>
      </c>
      <c r="C246" s="1" t="s">
        <v>2336</v>
      </c>
      <c r="E246" s="1">
        <v>11</v>
      </c>
      <c r="F246" s="1" t="s">
        <v>2139</v>
      </c>
      <c r="H246" s="1" t="s">
        <v>2451</v>
      </c>
      <c r="I246" s="1" t="s">
        <v>7</v>
      </c>
      <c r="J246" s="1" t="s">
        <v>2142</v>
      </c>
      <c r="K246" s="1" t="s">
        <v>2143</v>
      </c>
      <c r="L246" s="1" t="s">
        <v>2142</v>
      </c>
      <c r="M246" s="1" t="s">
        <v>2452</v>
      </c>
      <c r="O246" s="1">
        <v>1</v>
      </c>
      <c r="Q246" s="1">
        <v>1993</v>
      </c>
      <c r="R246" s="1" t="s">
        <v>2342</v>
      </c>
      <c r="S246" s="1" t="s">
        <v>27</v>
      </c>
      <c r="T246" s="6">
        <v>1</v>
      </c>
      <c r="Z246" s="1">
        <v>79.7</v>
      </c>
      <c r="AA246" s="1">
        <v>6.25</v>
      </c>
      <c r="AC246" s="1">
        <v>16</v>
      </c>
      <c r="AH246" s="1">
        <v>1</v>
      </c>
      <c r="AV246" s="1">
        <v>1.2</v>
      </c>
      <c r="AY246" s="1">
        <v>20.8</v>
      </c>
      <c r="BB246" s="1">
        <v>34.6</v>
      </c>
      <c r="BD246" s="1">
        <v>5.3800000000000001E-2</v>
      </c>
      <c r="BF246" s="1">
        <v>0.9</v>
      </c>
      <c r="BG246" s="1">
        <v>5</v>
      </c>
      <c r="BJ246" s="1">
        <v>38.299999999999997</v>
      </c>
      <c r="BK246" s="1">
        <v>2.3099999999999999E-2</v>
      </c>
      <c r="BP246" s="1">
        <v>211</v>
      </c>
      <c r="BW246" s="1">
        <v>2</v>
      </c>
      <c r="DU246" s="1">
        <v>976</v>
      </c>
      <c r="DV246" s="1">
        <v>832</v>
      </c>
      <c r="DX246" s="1">
        <v>1536</v>
      </c>
      <c r="EA246" s="1">
        <v>2400</v>
      </c>
      <c r="EB246" s="1">
        <v>608</v>
      </c>
      <c r="EC246" s="1">
        <v>608</v>
      </c>
      <c r="EF246" s="1">
        <v>592</v>
      </c>
      <c r="EG246" s="1">
        <v>1072</v>
      </c>
      <c r="EH246" s="1">
        <v>1344</v>
      </c>
      <c r="EI246" s="1">
        <v>496</v>
      </c>
      <c r="EK246" s="1">
        <v>624</v>
      </c>
      <c r="EL246" s="1">
        <v>656</v>
      </c>
      <c r="EM246" s="1">
        <v>480</v>
      </c>
      <c r="EO246" s="1">
        <v>736</v>
      </c>
      <c r="EQ246" s="1">
        <v>528</v>
      </c>
      <c r="ER246" s="1">
        <v>736</v>
      </c>
    </row>
    <row r="247" spans="1:148" x14ac:dyDescent="0.2">
      <c r="A247" s="1" t="s">
        <v>2453</v>
      </c>
      <c r="B247" s="1" t="s">
        <v>55</v>
      </c>
      <c r="C247" s="1" t="s">
        <v>2454</v>
      </c>
      <c r="E247" s="1">
        <v>13</v>
      </c>
      <c r="F247" s="1" t="s">
        <v>2455</v>
      </c>
      <c r="G247" s="1" t="s">
        <v>2456</v>
      </c>
      <c r="H247" s="1" t="s">
        <v>2457</v>
      </c>
      <c r="I247" s="1" t="s">
        <v>7</v>
      </c>
      <c r="J247" s="1" t="s">
        <v>2458</v>
      </c>
      <c r="K247" s="1" t="s">
        <v>2459</v>
      </c>
      <c r="L247" s="1" t="s">
        <v>2460</v>
      </c>
      <c r="O247" s="1">
        <v>1</v>
      </c>
      <c r="P247" s="1" t="s">
        <v>1270</v>
      </c>
      <c r="Q247" s="1">
        <v>2000</v>
      </c>
      <c r="R247" s="1" t="s">
        <v>2461</v>
      </c>
      <c r="S247" s="1" t="s">
        <v>27</v>
      </c>
      <c r="T247" s="6">
        <v>1</v>
      </c>
      <c r="Z247" s="1">
        <v>70.489999999999995</v>
      </c>
      <c r="AA247" s="1">
        <v>6.25</v>
      </c>
      <c r="AC247" s="1">
        <v>25.53</v>
      </c>
      <c r="AH247" s="1">
        <v>2.5299999999999998</v>
      </c>
      <c r="AK247" s="1">
        <v>1.0289153600000001</v>
      </c>
      <c r="AL247" s="1">
        <v>0.64085460999999999</v>
      </c>
      <c r="AM247" s="1">
        <v>0.54772003000000002</v>
      </c>
      <c r="AV247" s="1">
        <v>1.2</v>
      </c>
      <c r="AY247" s="1">
        <v>19.66</v>
      </c>
      <c r="BF247" s="1">
        <v>0.9</v>
      </c>
      <c r="BJ247" s="1">
        <v>30</v>
      </c>
      <c r="BK247" s="1">
        <v>1.0999999999999999E-2</v>
      </c>
      <c r="BP247" s="1">
        <v>268.3</v>
      </c>
      <c r="DS247" s="1">
        <v>6784</v>
      </c>
      <c r="EC247" s="1">
        <v>822</v>
      </c>
      <c r="EF247" s="1">
        <v>704</v>
      </c>
      <c r="EG247" s="1">
        <v>1124</v>
      </c>
      <c r="EH247" s="1">
        <v>1525</v>
      </c>
      <c r="EI247" s="1">
        <v>297</v>
      </c>
      <c r="EK247" s="1">
        <v>774</v>
      </c>
      <c r="EO247" s="1">
        <v>526</v>
      </c>
      <c r="EQ247" s="1">
        <v>548</v>
      </c>
      <c r="ER247" s="1">
        <v>464</v>
      </c>
    </row>
    <row r="248" spans="1:148" x14ac:dyDescent="0.2">
      <c r="A248" s="1" t="s">
        <v>2462</v>
      </c>
      <c r="B248" s="1" t="s">
        <v>55</v>
      </c>
      <c r="C248" s="1" t="s">
        <v>2454</v>
      </c>
      <c r="E248" s="1">
        <v>13</v>
      </c>
      <c r="F248" s="1" t="s">
        <v>2463</v>
      </c>
      <c r="G248" s="1" t="s">
        <v>2464</v>
      </c>
      <c r="H248" s="1" t="s">
        <v>2465</v>
      </c>
      <c r="I248" s="1" t="s">
        <v>7</v>
      </c>
      <c r="J248" s="1" t="s">
        <v>2466</v>
      </c>
      <c r="K248" s="1" t="s">
        <v>2467</v>
      </c>
      <c r="L248" s="1" t="s">
        <v>2466</v>
      </c>
      <c r="O248" s="1">
        <v>1</v>
      </c>
      <c r="P248" s="1" t="s">
        <v>1270</v>
      </c>
      <c r="Q248" s="1">
        <v>2000</v>
      </c>
      <c r="R248" s="1" t="s">
        <v>2461</v>
      </c>
      <c r="S248" s="1" t="s">
        <v>27</v>
      </c>
      <c r="T248" s="6">
        <v>1</v>
      </c>
      <c r="Z248" s="1">
        <v>72.47</v>
      </c>
      <c r="AA248" s="1">
        <v>6.25</v>
      </c>
      <c r="AC248" s="1">
        <v>22.82</v>
      </c>
      <c r="AH248" s="1">
        <v>2.17</v>
      </c>
      <c r="AL248" s="1">
        <v>1.3246534400000001</v>
      </c>
      <c r="AM248" s="1">
        <v>0.55695656000000004</v>
      </c>
      <c r="AV248" s="1">
        <v>1.73</v>
      </c>
      <c r="AY248" s="1">
        <v>10</v>
      </c>
      <c r="BF248" s="1">
        <v>1.2</v>
      </c>
      <c r="BJ248" s="1">
        <v>33</v>
      </c>
      <c r="BK248" s="1">
        <v>1.7000000000000001E-2</v>
      </c>
      <c r="BP248" s="1">
        <v>159</v>
      </c>
      <c r="DS248" s="1">
        <v>9231</v>
      </c>
      <c r="EC248" s="1">
        <v>1489</v>
      </c>
      <c r="EF248" s="1">
        <v>421</v>
      </c>
      <c r="EG248" s="1">
        <v>1339</v>
      </c>
      <c r="EH248" s="1">
        <v>1916</v>
      </c>
      <c r="EI248" s="1">
        <v>323</v>
      </c>
      <c r="EK248" s="1">
        <v>619</v>
      </c>
      <c r="EO248" s="1">
        <v>2225</v>
      </c>
      <c r="EQ248" s="1">
        <v>460</v>
      </c>
      <c r="ER248" s="1">
        <v>439</v>
      </c>
    </row>
    <row r="249" spans="1:148" x14ac:dyDescent="0.2">
      <c r="A249" s="1" t="s">
        <v>2468</v>
      </c>
      <c r="B249" s="1" t="s">
        <v>55</v>
      </c>
      <c r="C249" s="1" t="s">
        <v>2454</v>
      </c>
      <c r="E249" s="1">
        <v>13</v>
      </c>
      <c r="F249" s="1" t="s">
        <v>2469</v>
      </c>
      <c r="G249" s="1" t="s">
        <v>2470</v>
      </c>
      <c r="H249" s="1" t="s">
        <v>2471</v>
      </c>
      <c r="I249" s="1" t="s">
        <v>7</v>
      </c>
      <c r="J249" s="1" t="s">
        <v>2472</v>
      </c>
      <c r="K249" s="1" t="s">
        <v>2470</v>
      </c>
      <c r="L249" s="1" t="s">
        <v>2472</v>
      </c>
      <c r="O249" s="1">
        <v>1</v>
      </c>
      <c r="P249" s="1" t="s">
        <v>1270</v>
      </c>
      <c r="Q249" s="1">
        <v>2000</v>
      </c>
      <c r="R249" s="1" t="s">
        <v>2461</v>
      </c>
      <c r="S249" s="1" t="s">
        <v>27</v>
      </c>
      <c r="T249" s="6">
        <v>1</v>
      </c>
      <c r="Z249" s="1">
        <v>70.73</v>
      </c>
      <c r="AA249" s="1">
        <v>6.25</v>
      </c>
      <c r="AC249" s="1">
        <v>21.43</v>
      </c>
      <c r="AH249" s="1">
        <v>6.15</v>
      </c>
      <c r="AK249" s="1">
        <v>1.7120546999999999</v>
      </c>
      <c r="AM249" s="1">
        <v>3.8884902499999998</v>
      </c>
      <c r="AV249" s="1">
        <v>1.63</v>
      </c>
      <c r="AY249" s="1">
        <v>15.66</v>
      </c>
      <c r="BF249" s="1">
        <v>1.4</v>
      </c>
      <c r="BJ249" s="1">
        <v>39</v>
      </c>
      <c r="BK249" s="1">
        <v>1.2999999999999999E-2</v>
      </c>
      <c r="BP249" s="1">
        <v>186</v>
      </c>
      <c r="DS249" s="1">
        <v>9100</v>
      </c>
      <c r="EC249" s="1">
        <v>547</v>
      </c>
      <c r="EF249" s="1">
        <v>524</v>
      </c>
      <c r="EG249" s="1">
        <v>1990</v>
      </c>
      <c r="EH249" s="1">
        <v>1660</v>
      </c>
      <c r="EI249" s="1">
        <v>500</v>
      </c>
      <c r="EK249" s="1">
        <v>745</v>
      </c>
      <c r="EO249" s="1">
        <v>925</v>
      </c>
      <c r="EQ249" s="1">
        <v>642</v>
      </c>
      <c r="ER249" s="1">
        <v>567</v>
      </c>
    </row>
    <row r="250" spans="1:148" x14ac:dyDescent="0.2">
      <c r="A250" s="1" t="s">
        <v>2473</v>
      </c>
      <c r="B250" s="1" t="s">
        <v>55</v>
      </c>
      <c r="C250" s="1" t="s">
        <v>2454</v>
      </c>
      <c r="E250" s="1">
        <v>33</v>
      </c>
      <c r="F250" s="1" t="s">
        <v>2474</v>
      </c>
      <c r="G250" s="1" t="s">
        <v>2475</v>
      </c>
      <c r="H250" s="1" t="s">
        <v>2457</v>
      </c>
      <c r="I250" s="1" t="s">
        <v>7</v>
      </c>
      <c r="J250" s="1" t="s">
        <v>2476</v>
      </c>
      <c r="K250" s="1" t="s">
        <v>2477</v>
      </c>
      <c r="L250" s="1" t="s">
        <v>2478</v>
      </c>
      <c r="O250" s="1">
        <v>1</v>
      </c>
      <c r="P250" s="1" t="s">
        <v>1270</v>
      </c>
      <c r="Q250" s="1">
        <v>2000</v>
      </c>
      <c r="R250" s="1" t="s">
        <v>2461</v>
      </c>
      <c r="S250" s="1" t="s">
        <v>27</v>
      </c>
      <c r="T250" s="6">
        <v>1</v>
      </c>
      <c r="Z250" s="1">
        <v>73.89</v>
      </c>
      <c r="AA250" s="1">
        <v>6.25</v>
      </c>
      <c r="AC250" s="1">
        <v>20.48</v>
      </c>
      <c r="AH250" s="1">
        <v>2.73</v>
      </c>
      <c r="AK250" s="1">
        <v>1.1780041000000001</v>
      </c>
      <c r="AM250" s="1">
        <v>1.22127772</v>
      </c>
      <c r="AV250" s="1">
        <v>2.13</v>
      </c>
      <c r="AY250" s="1">
        <v>10.78</v>
      </c>
      <c r="BF250" s="1">
        <v>1.2</v>
      </c>
      <c r="BJ250" s="1">
        <v>24</v>
      </c>
      <c r="BK250" s="1">
        <v>1.0999999999999999E-2</v>
      </c>
      <c r="BP250" s="1">
        <v>315.66000000000003</v>
      </c>
      <c r="DS250" s="1">
        <v>7259</v>
      </c>
      <c r="EC250" s="1">
        <v>1058</v>
      </c>
      <c r="EF250" s="1">
        <v>793</v>
      </c>
      <c r="EG250" s="1">
        <v>1022</v>
      </c>
      <c r="EH250" s="1">
        <v>1992</v>
      </c>
      <c r="EI250" s="1">
        <v>368</v>
      </c>
      <c r="EK250" s="1">
        <v>365</v>
      </c>
      <c r="EO250" s="1">
        <v>1186</v>
      </c>
      <c r="EQ250" s="1">
        <v>591</v>
      </c>
      <c r="ER250" s="1">
        <v>882</v>
      </c>
    </row>
    <row r="251" spans="1:148" x14ac:dyDescent="0.2">
      <c r="A251" s="1" t="s">
        <v>2479</v>
      </c>
      <c r="B251" s="1" t="s">
        <v>55</v>
      </c>
      <c r="C251" s="1" t="s">
        <v>2454</v>
      </c>
      <c r="E251" s="1">
        <v>33</v>
      </c>
      <c r="F251" s="1" t="s">
        <v>2480</v>
      </c>
      <c r="G251" s="1" t="s">
        <v>1408</v>
      </c>
      <c r="H251" s="1" t="s">
        <v>2481</v>
      </c>
      <c r="I251" s="1" t="s">
        <v>7</v>
      </c>
      <c r="J251" s="1" t="s">
        <v>2482</v>
      </c>
      <c r="K251" s="1" t="s">
        <v>2483</v>
      </c>
      <c r="L251" s="1" t="s">
        <v>2484</v>
      </c>
      <c r="O251" s="1">
        <v>1</v>
      </c>
      <c r="P251" s="1" t="s">
        <v>1270</v>
      </c>
      <c r="Q251" s="1">
        <v>2000</v>
      </c>
      <c r="R251" s="1" t="s">
        <v>2461</v>
      </c>
      <c r="S251" s="1" t="s">
        <v>27</v>
      </c>
      <c r="T251" s="6">
        <v>1</v>
      </c>
      <c r="Z251" s="1">
        <v>76.95</v>
      </c>
      <c r="AA251" s="1">
        <v>6.25</v>
      </c>
      <c r="AC251" s="1">
        <v>20.73</v>
      </c>
      <c r="AH251" s="1">
        <v>2.11</v>
      </c>
      <c r="AK251" s="1">
        <v>0.46736127999999999</v>
      </c>
      <c r="AL251" s="1">
        <v>0.49474572999999999</v>
      </c>
      <c r="AM251" s="1">
        <v>0.87995365999999997</v>
      </c>
      <c r="AV251" s="1">
        <v>1.9</v>
      </c>
      <c r="AY251" s="1">
        <v>79.33</v>
      </c>
      <c r="BF251" s="1">
        <v>1.6</v>
      </c>
      <c r="BJ251" s="1">
        <v>44</v>
      </c>
      <c r="BK251" s="1">
        <v>1.2E-2</v>
      </c>
      <c r="BP251" s="1">
        <v>130</v>
      </c>
      <c r="DS251" s="1">
        <v>8568</v>
      </c>
      <c r="EC251" s="1">
        <v>1222</v>
      </c>
      <c r="EF251" s="1">
        <v>952</v>
      </c>
      <c r="EG251" s="1">
        <v>1017</v>
      </c>
      <c r="EH251" s="1">
        <v>1489</v>
      </c>
      <c r="EI251" s="1">
        <v>271</v>
      </c>
      <c r="EK251" s="1">
        <v>716</v>
      </c>
      <c r="EO251" s="1">
        <v>442</v>
      </c>
      <c r="EQ251" s="1">
        <v>1567</v>
      </c>
      <c r="ER251" s="1">
        <v>847</v>
      </c>
    </row>
    <row r="252" spans="1:148" x14ac:dyDescent="0.2">
      <c r="A252" s="1" t="s">
        <v>2485</v>
      </c>
      <c r="B252" s="1" t="s">
        <v>55</v>
      </c>
      <c r="C252" s="1" t="s">
        <v>2454</v>
      </c>
      <c r="E252" s="1">
        <v>33</v>
      </c>
      <c r="F252" s="1" t="s">
        <v>2486</v>
      </c>
      <c r="G252" s="1" t="s">
        <v>2487</v>
      </c>
      <c r="H252" s="1" t="s">
        <v>2488</v>
      </c>
      <c r="I252" s="1" t="s">
        <v>7</v>
      </c>
      <c r="J252" s="1" t="s">
        <v>2489</v>
      </c>
      <c r="K252" s="1" t="s">
        <v>2490</v>
      </c>
      <c r="L252" s="1" t="s">
        <v>2489</v>
      </c>
      <c r="O252" s="1">
        <v>1</v>
      </c>
      <c r="P252" s="1" t="s">
        <v>1270</v>
      </c>
      <c r="Q252" s="1">
        <v>2000</v>
      </c>
      <c r="R252" s="1" t="s">
        <v>2461</v>
      </c>
      <c r="S252" s="1" t="s">
        <v>27</v>
      </c>
      <c r="T252" s="6">
        <v>1</v>
      </c>
      <c r="Z252" s="1">
        <v>71.09</v>
      </c>
      <c r="AA252" s="1">
        <v>6.25</v>
      </c>
      <c r="AC252" s="1">
        <v>21.17</v>
      </c>
      <c r="AH252" s="1">
        <v>6.03</v>
      </c>
      <c r="AK252" s="1">
        <v>2.7524609799999999</v>
      </c>
      <c r="AL252" s="1">
        <v>1.93549547</v>
      </c>
      <c r="AM252" s="1">
        <v>0.80051654000000005</v>
      </c>
      <c r="AV252" s="1">
        <v>1.53</v>
      </c>
      <c r="AY252" s="1">
        <v>75</v>
      </c>
      <c r="BF252" s="1">
        <v>1.5</v>
      </c>
      <c r="BJ252" s="1">
        <v>30</v>
      </c>
      <c r="BK252" s="1">
        <v>8.9999999999999993E-3</v>
      </c>
      <c r="BP252" s="1">
        <v>226.33</v>
      </c>
      <c r="DS252" s="1">
        <v>7308</v>
      </c>
      <c r="EC252" s="1">
        <v>1189</v>
      </c>
      <c r="EF252" s="1">
        <v>615</v>
      </c>
      <c r="EG252" s="1">
        <v>1198</v>
      </c>
      <c r="EH252" s="1">
        <v>1088</v>
      </c>
      <c r="EI252" s="1">
        <v>558</v>
      </c>
      <c r="EK252" s="1">
        <v>650</v>
      </c>
      <c r="EO252" s="1">
        <v>764</v>
      </c>
      <c r="EQ252" s="1">
        <v>603</v>
      </c>
      <c r="ER252" s="1">
        <v>643</v>
      </c>
    </row>
    <row r="253" spans="1:148" x14ac:dyDescent="0.2">
      <c r="A253" s="1" t="s">
        <v>2491</v>
      </c>
      <c r="B253" s="1" t="s">
        <v>55</v>
      </c>
      <c r="C253" s="1" t="s">
        <v>2454</v>
      </c>
      <c r="E253" s="1">
        <v>32</v>
      </c>
      <c r="F253" s="1" t="s">
        <v>2492</v>
      </c>
      <c r="G253" s="1" t="s">
        <v>2493</v>
      </c>
      <c r="H253" s="1" t="s">
        <v>2494</v>
      </c>
      <c r="I253" s="1" t="s">
        <v>7</v>
      </c>
      <c r="J253" s="1" t="s">
        <v>2495</v>
      </c>
      <c r="K253" s="1" t="s">
        <v>2496</v>
      </c>
      <c r="L253" s="1" t="s">
        <v>2495</v>
      </c>
      <c r="O253" s="1">
        <v>1</v>
      </c>
      <c r="P253" s="1" t="s">
        <v>1270</v>
      </c>
      <c r="Q253" s="1">
        <v>2000</v>
      </c>
      <c r="R253" s="1" t="s">
        <v>2461</v>
      </c>
      <c r="S253" s="1" t="s">
        <v>27</v>
      </c>
      <c r="T253" s="6">
        <v>1</v>
      </c>
      <c r="Z253" s="1">
        <v>77.209999999999994</v>
      </c>
      <c r="AA253" s="1">
        <v>6.25</v>
      </c>
      <c r="AC253" s="1">
        <v>18.7</v>
      </c>
      <c r="AH253" s="1">
        <v>1.82</v>
      </c>
      <c r="AK253" s="1">
        <v>0.80396601999999995</v>
      </c>
      <c r="AL253" s="1">
        <v>0.4587427</v>
      </c>
      <c r="AM253" s="1">
        <v>0.28924116</v>
      </c>
      <c r="AV253" s="1">
        <v>1.53</v>
      </c>
      <c r="AY253" s="1">
        <v>23</v>
      </c>
      <c r="BF253" s="1">
        <v>1.3</v>
      </c>
      <c r="BJ253" s="1">
        <v>27.66</v>
      </c>
      <c r="BK253" s="1">
        <v>8.0000000000000002E-3</v>
      </c>
      <c r="BP253" s="1">
        <v>296</v>
      </c>
      <c r="DS253" s="1">
        <v>8738</v>
      </c>
      <c r="EC253" s="1">
        <v>1435</v>
      </c>
      <c r="EF253" s="1">
        <v>760</v>
      </c>
      <c r="EG253" s="1">
        <v>1355</v>
      </c>
      <c r="EH253" s="1">
        <v>1504</v>
      </c>
      <c r="EI253" s="1">
        <v>538</v>
      </c>
      <c r="EK253" s="1">
        <v>802</v>
      </c>
      <c r="EO253" s="1">
        <v>955</v>
      </c>
      <c r="EQ253" s="1">
        <v>682</v>
      </c>
      <c r="ER253" s="1">
        <v>707</v>
      </c>
    </row>
    <row r="254" spans="1:148" x14ac:dyDescent="0.2">
      <c r="A254" s="1" t="s">
        <v>2497</v>
      </c>
      <c r="B254" s="1" t="s">
        <v>55</v>
      </c>
      <c r="C254" s="1" t="s">
        <v>2454</v>
      </c>
      <c r="E254" s="1">
        <v>33</v>
      </c>
      <c r="F254" s="1" t="s">
        <v>2498</v>
      </c>
      <c r="G254" s="1" t="s">
        <v>2499</v>
      </c>
      <c r="H254" s="1" t="s">
        <v>2500</v>
      </c>
      <c r="I254" s="1" t="s">
        <v>7</v>
      </c>
      <c r="J254" s="1" t="s">
        <v>2501</v>
      </c>
      <c r="K254" s="1" t="s">
        <v>2502</v>
      </c>
      <c r="L254" s="1" t="s">
        <v>2501</v>
      </c>
      <c r="O254" s="1">
        <v>1</v>
      </c>
      <c r="P254" s="1" t="s">
        <v>1270</v>
      </c>
      <c r="Q254" s="1">
        <v>2000</v>
      </c>
      <c r="R254" s="1" t="s">
        <v>2461</v>
      </c>
      <c r="S254" s="1" t="s">
        <v>27</v>
      </c>
      <c r="T254" s="6">
        <v>1</v>
      </c>
      <c r="Z254" s="1">
        <v>78.64</v>
      </c>
      <c r="AA254" s="1">
        <v>6.25</v>
      </c>
      <c r="AC254" s="1">
        <v>19.73</v>
      </c>
      <c r="AH254" s="1">
        <v>1.68</v>
      </c>
      <c r="AK254" s="1">
        <v>0.56977599999999995</v>
      </c>
      <c r="AL254" s="1">
        <v>0.62390471999999997</v>
      </c>
      <c r="AM254" s="1">
        <v>0.23503260000000001</v>
      </c>
      <c r="AV254" s="1">
        <v>0.94</v>
      </c>
      <c r="AY254" s="1">
        <v>69</v>
      </c>
      <c r="BF254" s="1">
        <v>0.9</v>
      </c>
      <c r="BJ254" s="1">
        <v>36.33</v>
      </c>
      <c r="BK254" s="1">
        <v>1.2E-2</v>
      </c>
      <c r="BP254" s="1">
        <v>153</v>
      </c>
      <c r="DS254" s="1">
        <v>6536</v>
      </c>
      <c r="EC254" s="1">
        <v>721</v>
      </c>
      <c r="EF254" s="1">
        <v>563</v>
      </c>
      <c r="EG254" s="1">
        <v>1121</v>
      </c>
      <c r="EH254" s="1">
        <v>1061</v>
      </c>
      <c r="EI254" s="1">
        <v>586</v>
      </c>
      <c r="EK254" s="1">
        <v>692</v>
      </c>
      <c r="EO254" s="1">
        <v>630</v>
      </c>
      <c r="EQ254" s="1">
        <v>648</v>
      </c>
      <c r="ER254" s="1">
        <v>514</v>
      </c>
    </row>
    <row r="255" spans="1:148" x14ac:dyDescent="0.2">
      <c r="A255" s="1" t="s">
        <v>2503</v>
      </c>
      <c r="B255" s="1" t="s">
        <v>55</v>
      </c>
      <c r="C255" s="1" t="s">
        <v>2454</v>
      </c>
      <c r="E255" s="1">
        <v>33</v>
      </c>
      <c r="F255" s="1" t="s">
        <v>2504</v>
      </c>
      <c r="G255" s="1" t="s">
        <v>2505</v>
      </c>
      <c r="H255" s="1" t="s">
        <v>2506</v>
      </c>
      <c r="I255" s="1" t="s">
        <v>7</v>
      </c>
      <c r="J255" s="1" t="s">
        <v>2507</v>
      </c>
      <c r="K255" s="1" t="s">
        <v>2508</v>
      </c>
      <c r="L255" s="1" t="s">
        <v>2507</v>
      </c>
      <c r="O255" s="1">
        <v>1</v>
      </c>
      <c r="P255" s="1" t="s">
        <v>1270</v>
      </c>
      <c r="Q255" s="1">
        <v>2000</v>
      </c>
      <c r="R255" s="1" t="s">
        <v>2461</v>
      </c>
      <c r="S255" s="1" t="s">
        <v>27</v>
      </c>
      <c r="T255" s="6">
        <v>1</v>
      </c>
      <c r="Z255" s="1">
        <v>76.72</v>
      </c>
      <c r="AA255" s="1">
        <v>6.25</v>
      </c>
      <c r="AC255" s="1">
        <v>20.99</v>
      </c>
      <c r="AH255" s="1">
        <v>1.1200000000000001</v>
      </c>
      <c r="AK255" s="1">
        <v>0.33462715999999998</v>
      </c>
      <c r="AL255" s="1">
        <v>0.26156839999999998</v>
      </c>
      <c r="AM255" s="1">
        <v>0.30666640000000001</v>
      </c>
      <c r="AV255" s="1">
        <v>1.33</v>
      </c>
      <c r="AY255" s="1">
        <v>17.66</v>
      </c>
      <c r="BF255" s="1">
        <v>1.26</v>
      </c>
      <c r="BJ255" s="1">
        <v>25.33</v>
      </c>
      <c r="BK255" s="1">
        <v>0.01</v>
      </c>
      <c r="BP255" s="1">
        <v>218.66</v>
      </c>
      <c r="DS255" s="1">
        <v>6966</v>
      </c>
      <c r="EC255" s="1">
        <v>924</v>
      </c>
      <c r="EF255" s="1">
        <v>657</v>
      </c>
      <c r="EG255" s="1">
        <v>1948</v>
      </c>
      <c r="EH255" s="1">
        <v>1653</v>
      </c>
      <c r="EI255" s="1">
        <v>490</v>
      </c>
      <c r="EK255" s="1">
        <v>550</v>
      </c>
      <c r="EO255" s="1">
        <v>622</v>
      </c>
      <c r="EQ255" s="1">
        <v>547</v>
      </c>
      <c r="ER255" s="1">
        <v>575</v>
      </c>
    </row>
    <row r="256" spans="1:148" x14ac:dyDescent="0.2">
      <c r="A256" s="1" t="s">
        <v>2509</v>
      </c>
      <c r="B256" s="1" t="s">
        <v>55</v>
      </c>
      <c r="C256" s="1" t="s">
        <v>2454</v>
      </c>
      <c r="E256" s="1">
        <v>33</v>
      </c>
      <c r="F256" s="1" t="s">
        <v>2510</v>
      </c>
      <c r="G256" s="1" t="s">
        <v>2511</v>
      </c>
      <c r="H256" s="1" t="s">
        <v>2512</v>
      </c>
      <c r="I256" s="1" t="s">
        <v>7</v>
      </c>
      <c r="J256" s="1" t="s">
        <v>2513</v>
      </c>
      <c r="K256" s="1" t="s">
        <v>2514</v>
      </c>
      <c r="L256" s="1" t="s">
        <v>2513</v>
      </c>
      <c r="O256" s="1">
        <v>1</v>
      </c>
      <c r="P256" s="1" t="s">
        <v>1270</v>
      </c>
      <c r="Q256" s="1">
        <v>2000</v>
      </c>
      <c r="R256" s="1" t="s">
        <v>2461</v>
      </c>
      <c r="S256" s="1" t="s">
        <v>27</v>
      </c>
      <c r="T256" s="6">
        <v>1</v>
      </c>
      <c r="Z256" s="1">
        <v>77.12</v>
      </c>
      <c r="AA256" s="1">
        <v>6.25</v>
      </c>
      <c r="AC256" s="1">
        <v>21.61</v>
      </c>
      <c r="AH256" s="1">
        <v>1.66</v>
      </c>
      <c r="AK256" s="1">
        <v>0.68883220000000001</v>
      </c>
      <c r="AL256" s="1">
        <v>0.37956060000000003</v>
      </c>
      <c r="AM256" s="1">
        <v>0.33316985999999998</v>
      </c>
      <c r="AV256" s="1">
        <v>1.6</v>
      </c>
      <c r="AY256" s="1">
        <v>73</v>
      </c>
      <c r="BF256" s="1">
        <v>1.46</v>
      </c>
      <c r="BJ256" s="1">
        <v>32</v>
      </c>
      <c r="BK256" s="1">
        <v>8.9999999999999993E-3</v>
      </c>
      <c r="BP256" s="1">
        <v>254.66</v>
      </c>
      <c r="DS256" s="1">
        <v>8197</v>
      </c>
      <c r="EC256" s="1">
        <v>1376</v>
      </c>
      <c r="EF256" s="1">
        <v>651</v>
      </c>
      <c r="EG256" s="1">
        <v>1461</v>
      </c>
      <c r="EH256" s="1">
        <v>1239</v>
      </c>
      <c r="EI256" s="1">
        <v>555</v>
      </c>
      <c r="EK256" s="1">
        <v>695</v>
      </c>
      <c r="EO256" s="1">
        <v>990</v>
      </c>
      <c r="EQ256" s="1">
        <v>603</v>
      </c>
      <c r="ER256" s="1">
        <v>627</v>
      </c>
    </row>
    <row r="257" spans="1:148" x14ac:dyDescent="0.2">
      <c r="A257" s="1" t="s">
        <v>2515</v>
      </c>
      <c r="B257" s="1" t="s">
        <v>55</v>
      </c>
      <c r="C257" s="1" t="s">
        <v>2454</v>
      </c>
      <c r="E257" s="1">
        <v>12</v>
      </c>
      <c r="F257" s="1" t="s">
        <v>2516</v>
      </c>
      <c r="G257" s="1" t="s">
        <v>2517</v>
      </c>
      <c r="H257" s="1" t="s">
        <v>2518</v>
      </c>
      <c r="I257" s="1" t="s">
        <v>7</v>
      </c>
      <c r="J257" s="1" t="s">
        <v>2519</v>
      </c>
      <c r="K257" s="1" t="s">
        <v>2520</v>
      </c>
      <c r="L257" s="1" t="s">
        <v>2521</v>
      </c>
      <c r="O257" s="1">
        <v>1</v>
      </c>
      <c r="P257" s="1" t="s">
        <v>1270</v>
      </c>
      <c r="Q257" s="1">
        <v>2000</v>
      </c>
      <c r="R257" s="1" t="s">
        <v>2461</v>
      </c>
      <c r="S257" s="1" t="s">
        <v>27</v>
      </c>
      <c r="T257" s="6">
        <v>1</v>
      </c>
      <c r="Z257" s="1">
        <v>72.36</v>
      </c>
      <c r="AA257" s="1">
        <v>6.25</v>
      </c>
      <c r="AC257" s="1">
        <v>23.34</v>
      </c>
      <c r="AH257" s="1">
        <v>2.2599999999999998</v>
      </c>
      <c r="AK257" s="1">
        <v>0.12776270000000001</v>
      </c>
      <c r="AL257" s="1">
        <v>0.27321561999999999</v>
      </c>
      <c r="AM257" s="1">
        <v>1.58032632</v>
      </c>
      <c r="AV257" s="1">
        <v>1.94</v>
      </c>
      <c r="AY257" s="1">
        <v>41</v>
      </c>
      <c r="BF257" s="1">
        <v>1.76</v>
      </c>
      <c r="BJ257" s="1">
        <v>42.66</v>
      </c>
      <c r="BK257" s="1">
        <v>1.2E-2</v>
      </c>
      <c r="BP257" s="1">
        <v>322.22000000000003</v>
      </c>
      <c r="DS257" s="1">
        <v>10938</v>
      </c>
      <c r="EC257" s="1">
        <v>1625</v>
      </c>
      <c r="EF257" s="1">
        <v>1583</v>
      </c>
      <c r="EG257" s="1">
        <v>1454</v>
      </c>
      <c r="EH257" s="1">
        <v>486</v>
      </c>
      <c r="EI257" s="1">
        <v>555</v>
      </c>
      <c r="EK257" s="1">
        <v>1117</v>
      </c>
      <c r="EO257" s="1">
        <v>807</v>
      </c>
      <c r="EQ257" s="1">
        <v>1898</v>
      </c>
      <c r="ER257" s="1">
        <v>1413</v>
      </c>
    </row>
    <row r="258" spans="1:148" x14ac:dyDescent="0.2">
      <c r="A258" s="1" t="s">
        <v>2522</v>
      </c>
      <c r="B258" s="1" t="s">
        <v>55</v>
      </c>
      <c r="C258" s="1" t="s">
        <v>2454</v>
      </c>
      <c r="E258" s="1">
        <v>23</v>
      </c>
      <c r="F258" s="1" t="s">
        <v>1472</v>
      </c>
      <c r="G258" s="1" t="s">
        <v>2523</v>
      </c>
      <c r="H258" s="1" t="s">
        <v>2524</v>
      </c>
      <c r="I258" s="1" t="s">
        <v>7</v>
      </c>
      <c r="J258" s="1" t="s">
        <v>1474</v>
      </c>
      <c r="K258" s="1" t="s">
        <v>1475</v>
      </c>
      <c r="L258" s="1" t="s">
        <v>1474</v>
      </c>
      <c r="O258" s="1">
        <v>1</v>
      </c>
      <c r="P258" s="1" t="s">
        <v>1270</v>
      </c>
      <c r="Q258" s="1">
        <v>2000</v>
      </c>
      <c r="R258" s="1" t="s">
        <v>2461</v>
      </c>
      <c r="S258" s="1" t="s">
        <v>27</v>
      </c>
      <c r="T258" s="6">
        <v>1</v>
      </c>
      <c r="Z258" s="1">
        <v>77.06</v>
      </c>
      <c r="AA258" s="1">
        <v>6.25</v>
      </c>
      <c r="AC258" s="1">
        <v>20.86</v>
      </c>
      <c r="AH258" s="1">
        <v>1.5</v>
      </c>
      <c r="AK258" s="1">
        <v>0.3681545</v>
      </c>
      <c r="AL258" s="1">
        <v>0.47370050000000002</v>
      </c>
      <c r="AM258" s="1">
        <v>0.41464499999999999</v>
      </c>
      <c r="AV258" s="1">
        <v>1.3</v>
      </c>
      <c r="AY258" s="1">
        <v>71.33</v>
      </c>
      <c r="BF258" s="1">
        <v>1.45</v>
      </c>
      <c r="BJ258" s="1">
        <v>42.33</v>
      </c>
      <c r="BK258" s="1">
        <v>1.2E-2</v>
      </c>
      <c r="BP258" s="1">
        <v>122</v>
      </c>
      <c r="DS258" s="1">
        <v>7008</v>
      </c>
      <c r="EC258" s="1">
        <v>1077</v>
      </c>
      <c r="EF258" s="1">
        <v>654</v>
      </c>
      <c r="EG258" s="1">
        <v>1067</v>
      </c>
      <c r="EH258" s="1">
        <v>770</v>
      </c>
      <c r="EI258" s="1">
        <v>648</v>
      </c>
      <c r="EK258" s="1">
        <v>915</v>
      </c>
      <c r="EO258" s="1">
        <v>613</v>
      </c>
      <c r="EQ258" s="1">
        <v>766</v>
      </c>
      <c r="ER258" s="1">
        <v>498</v>
      </c>
    </row>
    <row r="259" spans="1:148" x14ac:dyDescent="0.2">
      <c r="A259" s="1" t="s">
        <v>2525</v>
      </c>
      <c r="B259" s="1" t="s">
        <v>55</v>
      </c>
      <c r="C259" s="1" t="s">
        <v>2526</v>
      </c>
      <c r="D259" s="1" t="s">
        <v>2</v>
      </c>
      <c r="E259" s="1">
        <v>13</v>
      </c>
      <c r="F259" s="1" t="s">
        <v>2527</v>
      </c>
      <c r="H259" s="1" t="s">
        <v>2528</v>
      </c>
      <c r="I259" s="1" t="s">
        <v>7</v>
      </c>
      <c r="J259" s="1" t="s">
        <v>2529</v>
      </c>
      <c r="L259" s="1" t="s">
        <v>2529</v>
      </c>
      <c r="M259" s="1" t="s">
        <v>2530</v>
      </c>
      <c r="O259" s="1">
        <v>3</v>
      </c>
      <c r="P259" s="1" t="s">
        <v>1270</v>
      </c>
      <c r="Q259" s="1">
        <v>2008</v>
      </c>
      <c r="R259" s="1" t="s">
        <v>2531</v>
      </c>
      <c r="S259" s="1" t="s">
        <v>27</v>
      </c>
      <c r="T259" s="6">
        <v>1</v>
      </c>
      <c r="Z259" s="1">
        <v>79.599999999999994</v>
      </c>
      <c r="AA259" s="1">
        <v>6.25</v>
      </c>
      <c r="AC259" s="1">
        <v>15.5</v>
      </c>
      <c r="AH259" s="1">
        <v>2.5099999999999998</v>
      </c>
      <c r="AK259" s="1">
        <v>0.76739166999999997</v>
      </c>
      <c r="AL259" s="1">
        <v>0.75199985999999996</v>
      </c>
      <c r="AM259" s="1">
        <v>0.63766069999999997</v>
      </c>
      <c r="AV259" s="1">
        <v>1.08</v>
      </c>
    </row>
    <row r="260" spans="1:148" x14ac:dyDescent="0.2">
      <c r="A260" s="1" t="s">
        <v>2532</v>
      </c>
      <c r="B260" s="1" t="s">
        <v>55</v>
      </c>
      <c r="C260" s="1" t="s">
        <v>2526</v>
      </c>
      <c r="D260" s="1" t="s">
        <v>2</v>
      </c>
      <c r="E260" s="1">
        <v>13</v>
      </c>
      <c r="F260" s="1" t="s">
        <v>2527</v>
      </c>
      <c r="H260" s="1" t="s">
        <v>2533</v>
      </c>
      <c r="I260" s="1" t="s">
        <v>11</v>
      </c>
      <c r="J260" s="1" t="s">
        <v>2529</v>
      </c>
      <c r="L260" s="1" t="s">
        <v>2529</v>
      </c>
      <c r="M260" s="1" t="s">
        <v>2530</v>
      </c>
      <c r="O260" s="1">
        <v>3</v>
      </c>
      <c r="P260" s="1" t="s">
        <v>1270</v>
      </c>
      <c r="Q260" s="1">
        <v>2008</v>
      </c>
      <c r="R260" s="1" t="s">
        <v>2531</v>
      </c>
      <c r="S260" s="1" t="s">
        <v>27</v>
      </c>
      <c r="T260" s="6">
        <v>1</v>
      </c>
      <c r="Z260" s="1">
        <v>74.900000000000006</v>
      </c>
      <c r="AA260" s="1">
        <v>6.25</v>
      </c>
      <c r="AC260" s="1">
        <v>20.100000000000001</v>
      </c>
      <c r="AH260" s="1">
        <v>2.4500000000000002</v>
      </c>
      <c r="AK260" s="1">
        <v>0.77356884999999997</v>
      </c>
      <c r="AL260" s="1">
        <v>0.73928324999999995</v>
      </c>
      <c r="AM260" s="1">
        <v>0.6299979</v>
      </c>
      <c r="AV260" s="1">
        <v>0.95</v>
      </c>
    </row>
    <row r="261" spans="1:148" x14ac:dyDescent="0.2">
      <c r="A261" s="1" t="s">
        <v>2534</v>
      </c>
      <c r="B261" s="1" t="s">
        <v>55</v>
      </c>
      <c r="C261" s="1" t="s">
        <v>2526</v>
      </c>
      <c r="D261" s="1" t="s">
        <v>2</v>
      </c>
      <c r="E261" s="1">
        <v>13</v>
      </c>
      <c r="F261" s="1" t="s">
        <v>2527</v>
      </c>
      <c r="H261" s="1" t="s">
        <v>2535</v>
      </c>
      <c r="I261" s="1" t="s">
        <v>11</v>
      </c>
      <c r="J261" s="1" t="s">
        <v>2529</v>
      </c>
      <c r="L261" s="1" t="s">
        <v>2529</v>
      </c>
      <c r="M261" s="1" t="s">
        <v>2530</v>
      </c>
      <c r="O261" s="1">
        <v>3</v>
      </c>
      <c r="P261" s="1" t="s">
        <v>1270</v>
      </c>
      <c r="Q261" s="1">
        <v>2008</v>
      </c>
      <c r="R261" s="1" t="s">
        <v>2531</v>
      </c>
      <c r="S261" s="1" t="s">
        <v>27</v>
      </c>
      <c r="T261" s="6">
        <v>1</v>
      </c>
      <c r="Z261" s="1">
        <v>70.2</v>
      </c>
      <c r="AA261" s="1">
        <v>6.25</v>
      </c>
      <c r="AC261" s="1">
        <v>23</v>
      </c>
      <c r="AH261" s="1">
        <v>3.64</v>
      </c>
      <c r="AK261" s="1">
        <v>1.138592</v>
      </c>
      <c r="AL261" s="1">
        <v>1.1808825599999999</v>
      </c>
      <c r="AM261" s="1">
        <v>0.93364544000000005</v>
      </c>
      <c r="AV261" s="1">
        <v>1.54</v>
      </c>
    </row>
    <row r="262" spans="1:148" x14ac:dyDescent="0.2">
      <c r="A262" s="1" t="s">
        <v>2536</v>
      </c>
      <c r="B262" s="1" t="s">
        <v>55</v>
      </c>
      <c r="C262" s="1" t="s">
        <v>2526</v>
      </c>
      <c r="D262" s="1" t="s">
        <v>2</v>
      </c>
      <c r="E262" s="1">
        <v>13</v>
      </c>
      <c r="F262" s="1" t="s">
        <v>2527</v>
      </c>
      <c r="H262" s="1" t="s">
        <v>2537</v>
      </c>
      <c r="I262" s="1" t="s">
        <v>11</v>
      </c>
      <c r="J262" s="1" t="s">
        <v>2529</v>
      </c>
      <c r="L262" s="1" t="s">
        <v>2529</v>
      </c>
      <c r="M262" s="1" t="s">
        <v>2530</v>
      </c>
      <c r="O262" s="1">
        <v>3</v>
      </c>
      <c r="P262" s="1" t="s">
        <v>1270</v>
      </c>
      <c r="Q262" s="1">
        <v>2008</v>
      </c>
      <c r="R262" s="1" t="s">
        <v>2531</v>
      </c>
      <c r="S262" s="1" t="s">
        <v>27</v>
      </c>
      <c r="T262" s="6">
        <v>1</v>
      </c>
      <c r="Z262" s="1">
        <v>71.400000000000006</v>
      </c>
      <c r="AA262" s="1">
        <v>6.25</v>
      </c>
      <c r="AC262" s="1">
        <v>21.9</v>
      </c>
      <c r="AH262" s="1">
        <v>3.37</v>
      </c>
      <c r="AK262" s="1">
        <v>1.06843076</v>
      </c>
      <c r="AL262" s="1">
        <v>1.12845496</v>
      </c>
      <c r="AM262" s="1">
        <v>0.80432428</v>
      </c>
      <c r="AV262" s="1">
        <v>1.58</v>
      </c>
    </row>
    <row r="263" spans="1:148" x14ac:dyDescent="0.2">
      <c r="A263" s="1" t="s">
        <v>2538</v>
      </c>
      <c r="B263" s="1" t="s">
        <v>55</v>
      </c>
      <c r="C263" s="1" t="s">
        <v>2526</v>
      </c>
      <c r="D263" s="1" t="s">
        <v>2</v>
      </c>
      <c r="E263" s="1">
        <v>13</v>
      </c>
      <c r="F263" s="1" t="s">
        <v>2527</v>
      </c>
      <c r="H263" s="1" t="s">
        <v>2539</v>
      </c>
      <c r="I263" s="1" t="s">
        <v>11</v>
      </c>
      <c r="J263" s="1" t="s">
        <v>2529</v>
      </c>
      <c r="L263" s="1" t="s">
        <v>2529</v>
      </c>
      <c r="M263" s="1" t="s">
        <v>2530</v>
      </c>
      <c r="O263" s="1">
        <v>3</v>
      </c>
      <c r="P263" s="1" t="s">
        <v>1270</v>
      </c>
      <c r="Q263" s="1">
        <v>2008</v>
      </c>
      <c r="R263" s="1" t="s">
        <v>2531</v>
      </c>
      <c r="S263" s="1" t="s">
        <v>27</v>
      </c>
      <c r="T263" s="6">
        <v>1</v>
      </c>
      <c r="Z263" s="1" t="s">
        <v>2540</v>
      </c>
      <c r="AA263" s="1">
        <v>6.25</v>
      </c>
      <c r="AC263" s="1" t="s">
        <v>2541</v>
      </c>
      <c r="AH263" s="1" t="s">
        <v>2542</v>
      </c>
      <c r="AK263" s="1">
        <v>1.15025073</v>
      </c>
      <c r="AL263" s="1">
        <v>1.19436064</v>
      </c>
      <c r="AM263" s="1">
        <v>1.0484586300000001</v>
      </c>
      <c r="AV263" s="1" t="s">
        <v>2543</v>
      </c>
    </row>
    <row r="264" spans="1:148" x14ac:dyDescent="0.2">
      <c r="A264" s="1" t="s">
        <v>2544</v>
      </c>
      <c r="B264" s="1" t="s">
        <v>55</v>
      </c>
      <c r="C264" s="1" t="s">
        <v>2526</v>
      </c>
      <c r="D264" s="1" t="s">
        <v>2</v>
      </c>
      <c r="E264" s="1">
        <v>13</v>
      </c>
      <c r="F264" s="1" t="s">
        <v>2527</v>
      </c>
      <c r="H264" s="1" t="s">
        <v>2545</v>
      </c>
      <c r="I264" s="1" t="s">
        <v>11</v>
      </c>
      <c r="J264" s="1" t="s">
        <v>2529</v>
      </c>
      <c r="L264" s="1" t="s">
        <v>2529</v>
      </c>
      <c r="M264" s="1" t="s">
        <v>2530</v>
      </c>
      <c r="O264" s="1">
        <v>3</v>
      </c>
      <c r="P264" s="1" t="s">
        <v>1270</v>
      </c>
      <c r="Q264" s="1">
        <v>2008</v>
      </c>
      <c r="R264" s="1" t="s">
        <v>2531</v>
      </c>
      <c r="S264" s="1" t="s">
        <v>27</v>
      </c>
      <c r="T264" s="6">
        <v>1</v>
      </c>
      <c r="Z264" s="1" t="s">
        <v>2546</v>
      </c>
      <c r="AA264" s="1">
        <v>6.25</v>
      </c>
      <c r="AC264" s="1" t="s">
        <v>2547</v>
      </c>
      <c r="AH264" s="1" t="s">
        <v>2548</v>
      </c>
      <c r="AK264" s="1">
        <v>2.3254199999999998</v>
      </c>
      <c r="AL264" s="1">
        <v>3.4752109999999998</v>
      </c>
      <c r="AM264" s="1">
        <v>7.1183690000000004</v>
      </c>
      <c r="AV264" s="1" t="s">
        <v>2549</v>
      </c>
    </row>
    <row r="265" spans="1:148" x14ac:dyDescent="0.2">
      <c r="A265" s="1" t="s">
        <v>2550</v>
      </c>
      <c r="B265" s="1" t="s">
        <v>55</v>
      </c>
      <c r="C265" s="1" t="s">
        <v>2526</v>
      </c>
      <c r="D265" s="1" t="s">
        <v>2</v>
      </c>
      <c r="E265" s="1">
        <v>13</v>
      </c>
      <c r="F265" s="1" t="s">
        <v>2527</v>
      </c>
      <c r="H265" s="1" t="s">
        <v>2551</v>
      </c>
      <c r="I265" s="1" t="s">
        <v>11</v>
      </c>
      <c r="J265" s="1" t="s">
        <v>2529</v>
      </c>
      <c r="L265" s="1" t="s">
        <v>2529</v>
      </c>
      <c r="M265" s="1" t="s">
        <v>2530</v>
      </c>
      <c r="O265" s="1">
        <v>3</v>
      </c>
      <c r="P265" s="1" t="s">
        <v>1270</v>
      </c>
      <c r="Q265" s="1">
        <v>2008</v>
      </c>
      <c r="R265" s="1" t="s">
        <v>2531</v>
      </c>
      <c r="S265" s="1" t="s">
        <v>27</v>
      </c>
      <c r="T265" s="6">
        <v>1</v>
      </c>
      <c r="Z265" s="1" t="s">
        <v>2552</v>
      </c>
      <c r="AA265" s="1">
        <v>6.25</v>
      </c>
      <c r="AC265" s="1" t="s">
        <v>2553</v>
      </c>
      <c r="AH265" s="1" t="s">
        <v>2554</v>
      </c>
      <c r="AK265" s="1">
        <v>5.3870921999999997</v>
      </c>
      <c r="AL265" s="1">
        <v>2.992829</v>
      </c>
      <c r="AM265" s="1">
        <v>4.6323787999999997</v>
      </c>
      <c r="AV265" s="1" t="s">
        <v>2555</v>
      </c>
    </row>
    <row r="266" spans="1:148" x14ac:dyDescent="0.2">
      <c r="A266" s="1" t="s">
        <v>2556</v>
      </c>
      <c r="B266" s="1" t="s">
        <v>55</v>
      </c>
      <c r="D266" s="1" t="s">
        <v>2</v>
      </c>
      <c r="E266" s="1">
        <v>11</v>
      </c>
      <c r="F266" s="1" t="s">
        <v>1390</v>
      </c>
      <c r="H266" s="1" t="s">
        <v>2153</v>
      </c>
      <c r="I266" s="1" t="s">
        <v>7</v>
      </c>
      <c r="J266" s="1" t="s">
        <v>1393</v>
      </c>
      <c r="K266" s="1" t="s">
        <v>1394</v>
      </c>
      <c r="L266" s="1" t="s">
        <v>1393</v>
      </c>
      <c r="M266" s="1" t="s">
        <v>2557</v>
      </c>
      <c r="O266" s="1">
        <v>1</v>
      </c>
      <c r="Q266" s="1">
        <v>2006</v>
      </c>
      <c r="R266" s="1" t="s">
        <v>2558</v>
      </c>
      <c r="S266" s="1" t="s">
        <v>27</v>
      </c>
      <c r="T266" s="6">
        <v>1</v>
      </c>
      <c r="AH266" s="1">
        <v>5.4</v>
      </c>
      <c r="CR266" s="1">
        <v>0.98</v>
      </c>
    </row>
    <row r="267" spans="1:148" x14ac:dyDescent="0.2">
      <c r="A267" s="1" t="s">
        <v>2559</v>
      </c>
      <c r="B267" s="1" t="s">
        <v>55</v>
      </c>
      <c r="D267" s="1" t="s">
        <v>2</v>
      </c>
      <c r="E267" s="1">
        <v>13</v>
      </c>
      <c r="F267" s="1" t="s">
        <v>1695</v>
      </c>
      <c r="H267" s="1" t="s">
        <v>2560</v>
      </c>
      <c r="I267" s="1" t="s">
        <v>7</v>
      </c>
      <c r="J267" s="1" t="s">
        <v>1697</v>
      </c>
      <c r="K267" s="1" t="s">
        <v>1698</v>
      </c>
      <c r="L267" s="1" t="s">
        <v>1697</v>
      </c>
      <c r="M267" s="1" t="s">
        <v>2561</v>
      </c>
      <c r="O267" s="1">
        <v>1</v>
      </c>
      <c r="Q267" s="1">
        <v>2006</v>
      </c>
      <c r="R267" s="1" t="s">
        <v>2558</v>
      </c>
      <c r="S267" s="1" t="s">
        <v>27</v>
      </c>
      <c r="T267" s="6">
        <v>1</v>
      </c>
      <c r="CR267" s="1">
        <v>0.74</v>
      </c>
    </row>
    <row r="268" spans="1:148" x14ac:dyDescent="0.2">
      <c r="A268" s="1" t="s">
        <v>2562</v>
      </c>
      <c r="B268" s="1" t="s">
        <v>55</v>
      </c>
      <c r="D268" s="1" t="s">
        <v>2</v>
      </c>
      <c r="E268" s="1">
        <v>13</v>
      </c>
      <c r="F268" s="1" t="s">
        <v>1280</v>
      </c>
      <c r="H268" s="1" t="s">
        <v>2563</v>
      </c>
      <c r="I268" s="1" t="s">
        <v>7</v>
      </c>
      <c r="J268" s="1" t="s">
        <v>1282</v>
      </c>
      <c r="K268" s="1" t="s">
        <v>1283</v>
      </c>
      <c r="L268" s="1" t="s">
        <v>1282</v>
      </c>
      <c r="M268" s="1" t="s">
        <v>2561</v>
      </c>
      <c r="O268" s="1">
        <v>1</v>
      </c>
      <c r="Q268" s="1">
        <v>2006</v>
      </c>
      <c r="R268" s="1" t="s">
        <v>2558</v>
      </c>
      <c r="S268" s="1" t="s">
        <v>27</v>
      </c>
      <c r="T268" s="6">
        <v>1</v>
      </c>
      <c r="CR268" s="1">
        <v>5.3</v>
      </c>
    </row>
    <row r="269" spans="1:148" x14ac:dyDescent="0.2">
      <c r="A269" s="1" t="s">
        <v>2564</v>
      </c>
      <c r="B269" s="1" t="s">
        <v>55</v>
      </c>
      <c r="C269" s="1" t="s">
        <v>2565</v>
      </c>
      <c r="D269" s="1" t="s">
        <v>2</v>
      </c>
      <c r="E269" s="1">
        <v>23</v>
      </c>
      <c r="F269" s="1" t="s">
        <v>1472</v>
      </c>
      <c r="H269" s="1" t="s">
        <v>2566</v>
      </c>
      <c r="I269" s="1" t="s">
        <v>7</v>
      </c>
      <c r="J269" s="1" t="s">
        <v>1474</v>
      </c>
      <c r="K269" s="1" t="s">
        <v>1475</v>
      </c>
      <c r="L269" s="1" t="s">
        <v>1474</v>
      </c>
      <c r="M269" s="1" t="s">
        <v>2567</v>
      </c>
      <c r="O269" s="1">
        <v>2</v>
      </c>
      <c r="Q269" s="1">
        <v>2006</v>
      </c>
      <c r="R269" s="1" t="s">
        <v>2558</v>
      </c>
      <c r="S269" s="1" t="s">
        <v>27</v>
      </c>
      <c r="T269" s="6">
        <v>1</v>
      </c>
      <c r="AH269" s="1">
        <v>5.4</v>
      </c>
      <c r="CR269" s="1">
        <v>7.2</v>
      </c>
    </row>
    <row r="270" spans="1:148" x14ac:dyDescent="0.2">
      <c r="A270" s="1" t="s">
        <v>2568</v>
      </c>
      <c r="B270" s="1" t="s">
        <v>55</v>
      </c>
      <c r="C270" s="1" t="s">
        <v>2565</v>
      </c>
      <c r="D270" s="1" t="s">
        <v>2</v>
      </c>
      <c r="E270" s="1">
        <v>23</v>
      </c>
      <c r="F270" s="1" t="s">
        <v>1472</v>
      </c>
      <c r="H270" s="1" t="s">
        <v>2566</v>
      </c>
      <c r="I270" s="1" t="s">
        <v>7</v>
      </c>
      <c r="J270" s="1" t="s">
        <v>1474</v>
      </c>
      <c r="K270" s="1" t="s">
        <v>1475</v>
      </c>
      <c r="L270" s="1" t="s">
        <v>1474</v>
      </c>
      <c r="M270" s="1" t="s">
        <v>2569</v>
      </c>
      <c r="O270" s="1">
        <v>2</v>
      </c>
      <c r="Q270" s="1">
        <v>2006</v>
      </c>
      <c r="R270" s="1" t="s">
        <v>2558</v>
      </c>
      <c r="S270" s="1" t="s">
        <v>27</v>
      </c>
      <c r="T270" s="6">
        <v>1</v>
      </c>
      <c r="AH270" s="1">
        <v>6.1</v>
      </c>
      <c r="CR270" s="1">
        <v>3.8</v>
      </c>
    </row>
    <row r="271" spans="1:148" x14ac:dyDescent="0.2">
      <c r="A271" s="1" t="s">
        <v>2570</v>
      </c>
      <c r="B271" s="1" t="s">
        <v>55</v>
      </c>
      <c r="C271" s="1" t="s">
        <v>2565</v>
      </c>
      <c r="D271" s="1" t="s">
        <v>2</v>
      </c>
      <c r="E271" s="1">
        <v>23</v>
      </c>
      <c r="F271" s="1" t="s">
        <v>1472</v>
      </c>
      <c r="H271" s="1" t="s">
        <v>2566</v>
      </c>
      <c r="I271" s="1" t="s">
        <v>7</v>
      </c>
      <c r="J271" s="1" t="s">
        <v>1474</v>
      </c>
      <c r="K271" s="1" t="s">
        <v>1475</v>
      </c>
      <c r="L271" s="1" t="s">
        <v>1474</v>
      </c>
      <c r="M271" s="1" t="s">
        <v>2571</v>
      </c>
      <c r="O271" s="1">
        <v>2</v>
      </c>
      <c r="Q271" s="1">
        <v>2006</v>
      </c>
      <c r="R271" s="1" t="s">
        <v>2558</v>
      </c>
      <c r="S271" s="1" t="s">
        <v>27</v>
      </c>
      <c r="T271" s="6">
        <v>1</v>
      </c>
      <c r="AH271" s="1">
        <v>2.5</v>
      </c>
      <c r="CR271" s="1">
        <v>10.7</v>
      </c>
    </row>
    <row r="272" spans="1:148" x14ac:dyDescent="0.2">
      <c r="A272" s="1" t="s">
        <v>2572</v>
      </c>
      <c r="B272" s="1" t="s">
        <v>55</v>
      </c>
      <c r="C272" s="1" t="s">
        <v>2565</v>
      </c>
      <c r="D272" s="1" t="s">
        <v>2</v>
      </c>
      <c r="E272" s="1">
        <v>23</v>
      </c>
      <c r="F272" s="1" t="s">
        <v>1472</v>
      </c>
      <c r="H272" s="1" t="s">
        <v>2566</v>
      </c>
      <c r="I272" s="1" t="s">
        <v>7</v>
      </c>
      <c r="J272" s="1" t="s">
        <v>1474</v>
      </c>
      <c r="K272" s="1" t="s">
        <v>1475</v>
      </c>
      <c r="L272" s="1" t="s">
        <v>1474</v>
      </c>
      <c r="M272" s="1" t="s">
        <v>2573</v>
      </c>
      <c r="O272" s="1">
        <v>2</v>
      </c>
      <c r="Q272" s="1">
        <v>2006</v>
      </c>
      <c r="R272" s="1" t="s">
        <v>2558</v>
      </c>
      <c r="S272" s="1" t="s">
        <v>27</v>
      </c>
      <c r="T272" s="6">
        <v>1</v>
      </c>
      <c r="AH272" s="1">
        <v>5.5</v>
      </c>
      <c r="CR272" s="1">
        <v>10.7</v>
      </c>
    </row>
    <row r="273" spans="1:96" x14ac:dyDescent="0.2">
      <c r="A273" s="1" t="s">
        <v>2574</v>
      </c>
      <c r="B273" s="1" t="s">
        <v>55</v>
      </c>
      <c r="C273" s="1" t="s">
        <v>2565</v>
      </c>
      <c r="D273" s="1" t="s">
        <v>2</v>
      </c>
      <c r="E273" s="1">
        <v>23</v>
      </c>
      <c r="F273" s="1" t="s">
        <v>1472</v>
      </c>
      <c r="H273" s="1" t="s">
        <v>2575</v>
      </c>
      <c r="I273" s="1" t="s">
        <v>7</v>
      </c>
      <c r="J273" s="1" t="s">
        <v>1474</v>
      </c>
      <c r="K273" s="1" t="s">
        <v>1475</v>
      </c>
      <c r="L273" s="1" t="s">
        <v>1474</v>
      </c>
      <c r="M273" s="1" t="s">
        <v>2576</v>
      </c>
      <c r="O273" s="1">
        <v>2</v>
      </c>
      <c r="Q273" s="1">
        <v>2006</v>
      </c>
      <c r="R273" s="1" t="s">
        <v>2558</v>
      </c>
      <c r="S273" s="1" t="s">
        <v>27</v>
      </c>
      <c r="T273" s="6">
        <v>1</v>
      </c>
      <c r="AH273" s="1">
        <v>3.8</v>
      </c>
      <c r="CR273" s="1">
        <v>8.5</v>
      </c>
    </row>
    <row r="274" spans="1:96" x14ac:dyDescent="0.2">
      <c r="A274" s="1" t="s">
        <v>2577</v>
      </c>
      <c r="B274" s="1" t="s">
        <v>55</v>
      </c>
      <c r="C274" s="1" t="s">
        <v>2565</v>
      </c>
      <c r="D274" s="1" t="s">
        <v>2</v>
      </c>
      <c r="E274" s="1">
        <v>23</v>
      </c>
      <c r="F274" s="1" t="s">
        <v>1472</v>
      </c>
      <c r="H274" s="1" t="s">
        <v>2575</v>
      </c>
      <c r="I274" s="1" t="s">
        <v>7</v>
      </c>
      <c r="J274" s="1" t="s">
        <v>1474</v>
      </c>
      <c r="K274" s="1" t="s">
        <v>1475</v>
      </c>
      <c r="L274" s="1" t="s">
        <v>1474</v>
      </c>
      <c r="M274" s="1" t="s">
        <v>2578</v>
      </c>
      <c r="O274" s="1">
        <v>2</v>
      </c>
      <c r="Q274" s="1">
        <v>2006</v>
      </c>
      <c r="R274" s="1" t="s">
        <v>2558</v>
      </c>
      <c r="S274" s="1" t="s">
        <v>27</v>
      </c>
      <c r="T274" s="6">
        <v>1</v>
      </c>
      <c r="AH274" s="1">
        <v>1.9</v>
      </c>
      <c r="CR274" s="1">
        <v>7.9</v>
      </c>
    </row>
    <row r="275" spans="1:96" x14ac:dyDescent="0.2">
      <c r="A275" s="1" t="s">
        <v>2579</v>
      </c>
      <c r="B275" s="1" t="s">
        <v>55</v>
      </c>
      <c r="C275" s="1" t="s">
        <v>2580</v>
      </c>
      <c r="D275" s="1" t="s">
        <v>2</v>
      </c>
      <c r="E275" s="1">
        <v>23</v>
      </c>
      <c r="F275" s="1" t="s">
        <v>1274</v>
      </c>
      <c r="H275" s="1" t="s">
        <v>2581</v>
      </c>
      <c r="I275" s="1" t="s">
        <v>7</v>
      </c>
      <c r="J275" s="1" t="s">
        <v>1276</v>
      </c>
      <c r="K275" s="1" t="s">
        <v>1277</v>
      </c>
      <c r="L275" s="1" t="s">
        <v>1276</v>
      </c>
      <c r="M275" s="1" t="s">
        <v>2582</v>
      </c>
      <c r="O275" s="1">
        <v>2</v>
      </c>
      <c r="Q275" s="1">
        <v>2006</v>
      </c>
      <c r="R275" s="1" t="s">
        <v>2558</v>
      </c>
      <c r="S275" s="1" t="s">
        <v>27</v>
      </c>
      <c r="T275" s="6">
        <v>1</v>
      </c>
      <c r="AH275" s="1">
        <v>14.4</v>
      </c>
      <c r="CR275" s="1">
        <v>8.4</v>
      </c>
    </row>
    <row r="276" spans="1:96" x14ac:dyDescent="0.2">
      <c r="A276" s="1" t="s">
        <v>2583</v>
      </c>
      <c r="B276" s="1" t="s">
        <v>55</v>
      </c>
      <c r="C276" s="1" t="s">
        <v>2584</v>
      </c>
      <c r="D276" s="1" t="s">
        <v>2</v>
      </c>
      <c r="E276" s="1">
        <v>23</v>
      </c>
      <c r="F276" s="1" t="s">
        <v>1274</v>
      </c>
      <c r="H276" s="1" t="s">
        <v>2581</v>
      </c>
      <c r="I276" s="1" t="s">
        <v>7</v>
      </c>
      <c r="J276" s="1" t="s">
        <v>1276</v>
      </c>
      <c r="K276" s="1" t="s">
        <v>1277</v>
      </c>
      <c r="L276" s="1" t="s">
        <v>1276</v>
      </c>
      <c r="M276" s="1" t="s">
        <v>2585</v>
      </c>
      <c r="O276" s="1">
        <v>2</v>
      </c>
      <c r="Q276" s="1">
        <v>2006</v>
      </c>
      <c r="R276" s="1" t="s">
        <v>2558</v>
      </c>
      <c r="S276" s="1" t="s">
        <v>27</v>
      </c>
      <c r="T276" s="6">
        <v>1</v>
      </c>
      <c r="AH276" s="1">
        <v>15.8</v>
      </c>
      <c r="CR276" s="1">
        <v>9.1</v>
      </c>
    </row>
    <row r="277" spans="1:96" x14ac:dyDescent="0.2">
      <c r="A277" s="1" t="s">
        <v>2586</v>
      </c>
      <c r="B277" s="1" t="s">
        <v>55</v>
      </c>
      <c r="C277" s="1" t="s">
        <v>2584</v>
      </c>
      <c r="D277" s="1" t="s">
        <v>2</v>
      </c>
      <c r="E277" s="1">
        <v>23</v>
      </c>
      <c r="F277" s="1" t="s">
        <v>1274</v>
      </c>
      <c r="H277" s="1" t="s">
        <v>2581</v>
      </c>
      <c r="I277" s="1" t="s">
        <v>7</v>
      </c>
      <c r="J277" s="1" t="s">
        <v>1276</v>
      </c>
      <c r="K277" s="1" t="s">
        <v>1277</v>
      </c>
      <c r="L277" s="1" t="s">
        <v>1276</v>
      </c>
      <c r="M277" s="1" t="s">
        <v>2585</v>
      </c>
      <c r="O277" s="1">
        <v>2</v>
      </c>
      <c r="Q277" s="1">
        <v>2006</v>
      </c>
      <c r="R277" s="1" t="s">
        <v>2558</v>
      </c>
      <c r="S277" s="1" t="s">
        <v>27</v>
      </c>
      <c r="T277" s="6">
        <v>1</v>
      </c>
      <c r="AH277" s="1">
        <v>21.6</v>
      </c>
      <c r="CR277" s="1">
        <v>8.6</v>
      </c>
    </row>
    <row r="278" spans="1:96" x14ac:dyDescent="0.2">
      <c r="A278" s="1" t="s">
        <v>2587</v>
      </c>
      <c r="B278" s="1" t="s">
        <v>55</v>
      </c>
      <c r="C278" s="1" t="s">
        <v>2580</v>
      </c>
      <c r="D278" s="1" t="s">
        <v>2</v>
      </c>
      <c r="E278" s="1">
        <v>23</v>
      </c>
      <c r="F278" s="1" t="s">
        <v>1274</v>
      </c>
      <c r="H278" s="1" t="s">
        <v>2581</v>
      </c>
      <c r="I278" s="1" t="s">
        <v>7</v>
      </c>
      <c r="J278" s="1" t="s">
        <v>1276</v>
      </c>
      <c r="K278" s="1" t="s">
        <v>1277</v>
      </c>
      <c r="L278" s="1" t="s">
        <v>1276</v>
      </c>
      <c r="M278" s="1" t="s">
        <v>2588</v>
      </c>
      <c r="O278" s="1">
        <v>2</v>
      </c>
      <c r="Q278" s="1">
        <v>2006</v>
      </c>
      <c r="R278" s="1" t="s">
        <v>2558</v>
      </c>
      <c r="S278" s="1" t="s">
        <v>27</v>
      </c>
      <c r="T278" s="6">
        <v>1</v>
      </c>
      <c r="AH278" s="1">
        <v>14.3</v>
      </c>
      <c r="CR278" s="1">
        <v>4.2</v>
      </c>
    </row>
    <row r="279" spans="1:96" x14ac:dyDescent="0.2">
      <c r="A279" s="1" t="s">
        <v>2589</v>
      </c>
      <c r="B279" s="1" t="s">
        <v>55</v>
      </c>
      <c r="C279" s="1" t="s">
        <v>2580</v>
      </c>
      <c r="D279" s="1" t="s">
        <v>2</v>
      </c>
      <c r="E279" s="1">
        <v>23</v>
      </c>
      <c r="F279" s="1" t="s">
        <v>1274</v>
      </c>
      <c r="H279" s="1" t="s">
        <v>2590</v>
      </c>
      <c r="I279" s="1" t="s">
        <v>7</v>
      </c>
      <c r="J279" s="1" t="s">
        <v>1276</v>
      </c>
      <c r="K279" s="1" t="s">
        <v>1277</v>
      </c>
      <c r="L279" s="1" t="s">
        <v>1276</v>
      </c>
      <c r="M279" s="1" t="s">
        <v>2582</v>
      </c>
      <c r="O279" s="1">
        <v>2</v>
      </c>
      <c r="Q279" s="1">
        <v>2006</v>
      </c>
      <c r="R279" s="1" t="s">
        <v>2558</v>
      </c>
      <c r="S279" s="1" t="s">
        <v>27</v>
      </c>
      <c r="T279" s="6">
        <v>1</v>
      </c>
      <c r="AH279" s="1">
        <v>16.3</v>
      </c>
      <c r="CR279" s="1">
        <v>4.2</v>
      </c>
    </row>
    <row r="280" spans="1:96" x14ac:dyDescent="0.2">
      <c r="A280" s="1" t="s">
        <v>2591</v>
      </c>
      <c r="B280" s="1" t="s">
        <v>55</v>
      </c>
      <c r="C280" s="1" t="s">
        <v>2580</v>
      </c>
      <c r="D280" s="1" t="s">
        <v>2</v>
      </c>
      <c r="E280" s="1">
        <v>23</v>
      </c>
      <c r="F280" s="1" t="s">
        <v>1274</v>
      </c>
      <c r="H280" s="1" t="s">
        <v>2590</v>
      </c>
      <c r="I280" s="1" t="s">
        <v>7</v>
      </c>
      <c r="J280" s="1" t="s">
        <v>1276</v>
      </c>
      <c r="K280" s="1" t="s">
        <v>1277</v>
      </c>
      <c r="L280" s="1" t="s">
        <v>1276</v>
      </c>
      <c r="M280" s="1" t="s">
        <v>2588</v>
      </c>
      <c r="O280" s="1">
        <v>2</v>
      </c>
      <c r="Q280" s="1">
        <v>2006</v>
      </c>
      <c r="R280" s="1" t="s">
        <v>2558</v>
      </c>
      <c r="S280" s="1" t="s">
        <v>27</v>
      </c>
      <c r="T280" s="6">
        <v>1</v>
      </c>
      <c r="AH280" s="1">
        <v>17</v>
      </c>
      <c r="CR280" s="1">
        <v>6.6</v>
      </c>
    </row>
    <row r="281" spans="1:96" x14ac:dyDescent="0.2">
      <c r="A281" s="1" t="s">
        <v>2592</v>
      </c>
      <c r="B281" s="1" t="s">
        <v>55</v>
      </c>
      <c r="C281" s="1" t="s">
        <v>2584</v>
      </c>
      <c r="D281" s="1" t="s">
        <v>2</v>
      </c>
      <c r="E281" s="1">
        <v>23</v>
      </c>
      <c r="F281" s="1" t="s">
        <v>1274</v>
      </c>
      <c r="H281" s="1" t="s">
        <v>2593</v>
      </c>
      <c r="I281" s="1" t="s">
        <v>11</v>
      </c>
      <c r="J281" s="1" t="s">
        <v>1276</v>
      </c>
      <c r="K281" s="1" t="s">
        <v>1277</v>
      </c>
      <c r="L281" s="1" t="s">
        <v>1276</v>
      </c>
      <c r="O281" s="1">
        <v>1</v>
      </c>
      <c r="Q281" s="1">
        <v>2006</v>
      </c>
      <c r="R281" s="1" t="s">
        <v>2558</v>
      </c>
      <c r="S281" s="1" t="s">
        <v>27</v>
      </c>
      <c r="T281" s="6">
        <v>1</v>
      </c>
      <c r="AH281" s="1">
        <v>7</v>
      </c>
      <c r="CR281" s="1">
        <v>6.6</v>
      </c>
    </row>
    <row r="282" spans="1:96" x14ac:dyDescent="0.2">
      <c r="A282" s="1" t="s">
        <v>2594</v>
      </c>
      <c r="B282" s="1" t="s">
        <v>55</v>
      </c>
      <c r="C282" s="1" t="s">
        <v>2595</v>
      </c>
      <c r="D282" s="1" t="s">
        <v>2</v>
      </c>
      <c r="E282" s="1">
        <v>23</v>
      </c>
      <c r="F282" s="1" t="s">
        <v>1274</v>
      </c>
      <c r="H282" s="1" t="s">
        <v>2593</v>
      </c>
      <c r="I282" s="1" t="s">
        <v>11</v>
      </c>
      <c r="J282" s="1" t="s">
        <v>1276</v>
      </c>
      <c r="K282" s="1" t="s">
        <v>1277</v>
      </c>
      <c r="L282" s="1" t="s">
        <v>1276</v>
      </c>
      <c r="O282" s="1">
        <v>1</v>
      </c>
      <c r="Q282" s="1">
        <v>2006</v>
      </c>
      <c r="R282" s="1" t="s">
        <v>2558</v>
      </c>
      <c r="S282" s="1" t="s">
        <v>27</v>
      </c>
      <c r="T282" s="6">
        <v>1</v>
      </c>
      <c r="AH282" s="1">
        <v>9.8000000000000007</v>
      </c>
      <c r="CR282" s="1">
        <v>5.0999999999999996</v>
      </c>
    </row>
    <row r="283" spans="1:96" x14ac:dyDescent="0.2">
      <c r="A283" s="1" t="s">
        <v>2596</v>
      </c>
      <c r="B283" s="1" t="s">
        <v>55</v>
      </c>
      <c r="C283" s="1" t="s">
        <v>2597</v>
      </c>
      <c r="D283" s="1" t="s">
        <v>2</v>
      </c>
      <c r="E283" s="1">
        <v>23</v>
      </c>
      <c r="F283" s="1" t="s">
        <v>1274</v>
      </c>
      <c r="H283" s="1" t="s">
        <v>2593</v>
      </c>
      <c r="I283" s="1" t="s">
        <v>11</v>
      </c>
      <c r="J283" s="1" t="s">
        <v>1276</v>
      </c>
      <c r="K283" s="1" t="s">
        <v>1277</v>
      </c>
      <c r="L283" s="1" t="s">
        <v>1276</v>
      </c>
      <c r="O283" s="1">
        <v>1</v>
      </c>
      <c r="Q283" s="1">
        <v>2006</v>
      </c>
      <c r="R283" s="1" t="s">
        <v>2558</v>
      </c>
      <c r="S283" s="1" t="s">
        <v>27</v>
      </c>
      <c r="T283" s="6">
        <v>1</v>
      </c>
      <c r="AH283" s="1">
        <v>10.5</v>
      </c>
      <c r="CR283" s="1">
        <v>6.8</v>
      </c>
    </row>
    <row r="284" spans="1:96" x14ac:dyDescent="0.2">
      <c r="A284" s="1" t="s">
        <v>2598</v>
      </c>
      <c r="B284" s="1" t="s">
        <v>55</v>
      </c>
      <c r="C284" s="1" t="s">
        <v>236</v>
      </c>
      <c r="E284" s="1">
        <v>13</v>
      </c>
      <c r="F284" s="1" t="s">
        <v>2599</v>
      </c>
      <c r="G284" s="1" t="s">
        <v>2600</v>
      </c>
      <c r="H284" s="1" t="s">
        <v>2601</v>
      </c>
      <c r="I284" s="1" t="s">
        <v>7</v>
      </c>
      <c r="J284" s="1" t="s">
        <v>2602</v>
      </c>
      <c r="L284" s="1" t="s">
        <v>2602</v>
      </c>
      <c r="N284" s="1" t="s">
        <v>2603</v>
      </c>
      <c r="O284" s="1">
        <v>1</v>
      </c>
      <c r="P284" s="1" t="s">
        <v>2604</v>
      </c>
      <c r="Q284" s="1">
        <v>2010</v>
      </c>
      <c r="R284" s="1" t="s">
        <v>2605</v>
      </c>
      <c r="S284" s="1" t="s">
        <v>27</v>
      </c>
      <c r="T284" s="6">
        <v>1</v>
      </c>
      <c r="Z284" s="1">
        <v>72.91</v>
      </c>
      <c r="AE284" s="1">
        <v>20.07</v>
      </c>
      <c r="AJ284" s="1">
        <v>3.37</v>
      </c>
      <c r="AV284" s="1">
        <v>1.25</v>
      </c>
    </row>
    <row r="285" spans="1:96" x14ac:dyDescent="0.2">
      <c r="A285" s="1" t="s">
        <v>2606</v>
      </c>
      <c r="B285" s="1" t="s">
        <v>55</v>
      </c>
      <c r="C285" s="1" t="s">
        <v>236</v>
      </c>
      <c r="E285" s="1">
        <v>13</v>
      </c>
      <c r="F285" s="1" t="s">
        <v>2599</v>
      </c>
      <c r="G285" s="1" t="s">
        <v>2600</v>
      </c>
      <c r="H285" s="1" t="s">
        <v>2607</v>
      </c>
      <c r="I285" s="1" t="s">
        <v>11</v>
      </c>
      <c r="J285" s="1" t="s">
        <v>2602</v>
      </c>
      <c r="L285" s="1" t="s">
        <v>2602</v>
      </c>
      <c r="N285" s="1" t="s">
        <v>2608</v>
      </c>
      <c r="O285" s="1">
        <v>1</v>
      </c>
      <c r="P285" s="1" t="s">
        <v>2604</v>
      </c>
      <c r="Q285" s="1">
        <v>2010</v>
      </c>
      <c r="R285" s="1" t="s">
        <v>2605</v>
      </c>
      <c r="S285" s="1" t="s">
        <v>27</v>
      </c>
      <c r="T285" s="6">
        <v>1</v>
      </c>
      <c r="Z285" s="1">
        <v>58.51</v>
      </c>
      <c r="AE285" s="1">
        <v>28.07</v>
      </c>
      <c r="AJ285" s="1">
        <v>8.09</v>
      </c>
      <c r="AV285" s="1">
        <v>3.28</v>
      </c>
    </row>
    <row r="286" spans="1:96" x14ac:dyDescent="0.2">
      <c r="A286" s="1" t="s">
        <v>2609</v>
      </c>
      <c r="B286" s="1" t="s">
        <v>55</v>
      </c>
      <c r="C286" s="1" t="s">
        <v>236</v>
      </c>
      <c r="E286" s="1">
        <v>13</v>
      </c>
      <c r="F286" s="1" t="s">
        <v>2599</v>
      </c>
      <c r="G286" s="1" t="s">
        <v>2600</v>
      </c>
      <c r="H286" s="1" t="s">
        <v>2610</v>
      </c>
      <c r="I286" s="1" t="s">
        <v>11</v>
      </c>
      <c r="J286" s="1" t="s">
        <v>2602</v>
      </c>
      <c r="L286" s="1" t="s">
        <v>2602</v>
      </c>
      <c r="N286" s="1" t="s">
        <v>2611</v>
      </c>
      <c r="O286" s="1">
        <v>1</v>
      </c>
      <c r="P286" s="1" t="s">
        <v>2604</v>
      </c>
      <c r="Q286" s="1">
        <v>2010</v>
      </c>
      <c r="R286" s="1" t="s">
        <v>2605</v>
      </c>
      <c r="S286" s="1" t="s">
        <v>27</v>
      </c>
      <c r="T286" s="6">
        <v>1</v>
      </c>
      <c r="Z286" s="1">
        <v>59.68</v>
      </c>
      <c r="AE286" s="1">
        <v>27.14</v>
      </c>
      <c r="AJ286" s="1">
        <v>7.76</v>
      </c>
      <c r="AV286" s="1">
        <v>3.47</v>
      </c>
    </row>
    <row r="287" spans="1:96" x14ac:dyDescent="0.2">
      <c r="A287" s="1" t="s">
        <v>2612</v>
      </c>
      <c r="B287" s="1" t="s">
        <v>55</v>
      </c>
      <c r="C287" s="1" t="s">
        <v>2613</v>
      </c>
      <c r="D287" s="1" t="s">
        <v>2</v>
      </c>
      <c r="E287" s="1">
        <v>13</v>
      </c>
      <c r="F287" s="1" t="s">
        <v>2614</v>
      </c>
      <c r="H287" s="1" t="s">
        <v>2615</v>
      </c>
      <c r="I287" s="1" t="s">
        <v>7</v>
      </c>
      <c r="J287" s="1" t="s">
        <v>2616</v>
      </c>
      <c r="K287" s="1" t="s">
        <v>2617</v>
      </c>
      <c r="L287" s="1" t="s">
        <v>2618</v>
      </c>
      <c r="N287" s="1" t="s">
        <v>2619</v>
      </c>
      <c r="P287" s="1" t="s">
        <v>2620</v>
      </c>
      <c r="Q287" s="1">
        <v>2007</v>
      </c>
      <c r="R287" s="1" t="s">
        <v>2621</v>
      </c>
      <c r="S287" s="1" t="s">
        <v>27</v>
      </c>
      <c r="T287" s="6">
        <v>1</v>
      </c>
      <c r="Z287" s="1">
        <v>75.680000000000007</v>
      </c>
      <c r="AE287" s="1">
        <v>18.68</v>
      </c>
      <c r="AJ287" s="1">
        <v>3.03</v>
      </c>
      <c r="AV287" s="1">
        <v>1.17</v>
      </c>
    </row>
    <row r="288" spans="1:96" x14ac:dyDescent="0.2">
      <c r="A288" s="1" t="s">
        <v>2622</v>
      </c>
      <c r="B288" s="1" t="s">
        <v>55</v>
      </c>
      <c r="C288" s="1" t="s">
        <v>2613</v>
      </c>
      <c r="D288" s="1" t="s">
        <v>2</v>
      </c>
      <c r="E288" s="1">
        <v>13</v>
      </c>
      <c r="F288" s="1" t="s">
        <v>2614</v>
      </c>
      <c r="H288" s="1" t="s">
        <v>2615</v>
      </c>
      <c r="I288" s="1" t="s">
        <v>7</v>
      </c>
      <c r="J288" s="1" t="s">
        <v>2616</v>
      </c>
      <c r="K288" s="1" t="s">
        <v>2617</v>
      </c>
      <c r="L288" s="1" t="s">
        <v>2618</v>
      </c>
      <c r="N288" s="1" t="s">
        <v>2623</v>
      </c>
      <c r="P288" s="1" t="s">
        <v>2620</v>
      </c>
      <c r="Q288" s="1">
        <v>2007</v>
      </c>
      <c r="R288" s="1" t="s">
        <v>2621</v>
      </c>
      <c r="S288" s="1" t="s">
        <v>27</v>
      </c>
      <c r="T288" s="6">
        <v>1</v>
      </c>
      <c r="Z288" s="1">
        <v>75.209999999999994</v>
      </c>
      <c r="AE288" s="1">
        <v>18.41</v>
      </c>
      <c r="AJ288" s="1">
        <v>2.98</v>
      </c>
      <c r="AV288" s="1">
        <v>1.18</v>
      </c>
    </row>
    <row r="289" spans="1:153" x14ac:dyDescent="0.2">
      <c r="A289" s="1" t="s">
        <v>2624</v>
      </c>
      <c r="B289" s="1" t="s">
        <v>55</v>
      </c>
      <c r="C289" s="1" t="s">
        <v>2613</v>
      </c>
      <c r="D289" s="1" t="s">
        <v>2</v>
      </c>
      <c r="E289" s="1">
        <v>13</v>
      </c>
      <c r="F289" s="1" t="s">
        <v>2614</v>
      </c>
      <c r="H289" s="1" t="s">
        <v>2615</v>
      </c>
      <c r="I289" s="1" t="s">
        <v>7</v>
      </c>
      <c r="J289" s="1" t="s">
        <v>2616</v>
      </c>
      <c r="K289" s="1" t="s">
        <v>2617</v>
      </c>
      <c r="L289" s="1" t="s">
        <v>2618</v>
      </c>
      <c r="N289" s="1" t="s">
        <v>2625</v>
      </c>
      <c r="P289" s="1" t="s">
        <v>2620</v>
      </c>
      <c r="Q289" s="1">
        <v>2007</v>
      </c>
      <c r="R289" s="1" t="s">
        <v>2621</v>
      </c>
      <c r="S289" s="1" t="s">
        <v>27</v>
      </c>
      <c r="T289" s="6">
        <v>1</v>
      </c>
      <c r="Z289" s="1">
        <v>75.08</v>
      </c>
      <c r="AE289" s="1">
        <v>18.36</v>
      </c>
      <c r="AJ289" s="1">
        <v>2.9</v>
      </c>
      <c r="AV289" s="1">
        <v>1.18</v>
      </c>
    </row>
    <row r="290" spans="1:153" x14ac:dyDescent="0.2">
      <c r="A290" s="1" t="s">
        <v>2626</v>
      </c>
      <c r="B290" s="1" t="s">
        <v>55</v>
      </c>
      <c r="C290" s="1" t="s">
        <v>2613</v>
      </c>
      <c r="D290" s="1" t="s">
        <v>2</v>
      </c>
      <c r="E290" s="1">
        <v>13</v>
      </c>
      <c r="F290" s="1" t="s">
        <v>2614</v>
      </c>
      <c r="H290" s="1" t="s">
        <v>2615</v>
      </c>
      <c r="I290" s="1" t="s">
        <v>7</v>
      </c>
      <c r="J290" s="1" t="s">
        <v>2616</v>
      </c>
      <c r="K290" s="1" t="s">
        <v>2617</v>
      </c>
      <c r="L290" s="1" t="s">
        <v>2618</v>
      </c>
      <c r="N290" s="1" t="s">
        <v>2627</v>
      </c>
      <c r="P290" s="1" t="s">
        <v>2620</v>
      </c>
      <c r="Q290" s="1">
        <v>2007</v>
      </c>
      <c r="R290" s="1" t="s">
        <v>2621</v>
      </c>
      <c r="S290" s="1" t="s">
        <v>27</v>
      </c>
      <c r="T290" s="6">
        <v>1</v>
      </c>
      <c r="Z290" s="1" t="s">
        <v>2628</v>
      </c>
      <c r="AE290" s="1" t="s">
        <v>2629</v>
      </c>
      <c r="AJ290" s="1" t="s">
        <v>2630</v>
      </c>
      <c r="AV290" s="1" t="s">
        <v>2631</v>
      </c>
    </row>
    <row r="291" spans="1:153" x14ac:dyDescent="0.2">
      <c r="A291" s="1" t="s">
        <v>2632</v>
      </c>
      <c r="B291" s="1" t="s">
        <v>55</v>
      </c>
      <c r="C291" s="1" t="s">
        <v>2613</v>
      </c>
      <c r="D291" s="1" t="s">
        <v>2</v>
      </c>
      <c r="E291" s="1">
        <v>13</v>
      </c>
      <c r="F291" s="1" t="s">
        <v>2614</v>
      </c>
      <c r="H291" s="1" t="s">
        <v>2615</v>
      </c>
      <c r="I291" s="1" t="s">
        <v>7</v>
      </c>
      <c r="J291" s="1" t="s">
        <v>2616</v>
      </c>
      <c r="K291" s="1" t="s">
        <v>2617</v>
      </c>
      <c r="L291" s="1" t="s">
        <v>2618</v>
      </c>
      <c r="N291" s="1" t="s">
        <v>2633</v>
      </c>
      <c r="P291" s="1" t="s">
        <v>2620</v>
      </c>
      <c r="Q291" s="1">
        <v>2007</v>
      </c>
      <c r="R291" s="1" t="s">
        <v>2621</v>
      </c>
      <c r="S291" s="1" t="s">
        <v>27</v>
      </c>
      <c r="T291" s="6">
        <v>1</v>
      </c>
      <c r="Z291" s="1" t="s">
        <v>2628</v>
      </c>
      <c r="AE291" s="1" t="s">
        <v>2634</v>
      </c>
      <c r="AJ291" s="1" t="s">
        <v>2630</v>
      </c>
      <c r="AV291" s="1" t="s">
        <v>2635</v>
      </c>
    </row>
    <row r="292" spans="1:153" x14ac:dyDescent="0.2">
      <c r="A292" s="1" t="s">
        <v>2636</v>
      </c>
      <c r="B292" s="1" t="s">
        <v>55</v>
      </c>
      <c r="C292" s="1" t="s">
        <v>2613</v>
      </c>
      <c r="D292" s="1" t="s">
        <v>2</v>
      </c>
      <c r="E292" s="1">
        <v>13</v>
      </c>
      <c r="F292" s="1" t="s">
        <v>2614</v>
      </c>
      <c r="H292" s="1" t="s">
        <v>2615</v>
      </c>
      <c r="I292" s="1" t="s">
        <v>7</v>
      </c>
      <c r="J292" s="1" t="s">
        <v>2616</v>
      </c>
      <c r="K292" s="1" t="s">
        <v>2617</v>
      </c>
      <c r="L292" s="1" t="s">
        <v>2618</v>
      </c>
      <c r="N292" s="1" t="s">
        <v>2637</v>
      </c>
      <c r="P292" s="1" t="s">
        <v>2620</v>
      </c>
      <c r="Q292" s="1">
        <v>2007</v>
      </c>
      <c r="R292" s="1" t="s">
        <v>2621</v>
      </c>
      <c r="S292" s="1" t="s">
        <v>27</v>
      </c>
      <c r="T292" s="6">
        <v>1</v>
      </c>
      <c r="Z292" s="1" t="s">
        <v>2638</v>
      </c>
      <c r="AE292" s="1" t="s">
        <v>2639</v>
      </c>
      <c r="AJ292" s="1" t="s">
        <v>2640</v>
      </c>
      <c r="AV292" s="1" t="s">
        <v>2641</v>
      </c>
    </row>
    <row r="293" spans="1:153" x14ac:dyDescent="0.2">
      <c r="A293" s="1" t="s">
        <v>2642</v>
      </c>
      <c r="B293" s="1" t="s">
        <v>55</v>
      </c>
      <c r="C293" s="1" t="s">
        <v>238</v>
      </c>
      <c r="D293" s="1" t="s">
        <v>2</v>
      </c>
      <c r="E293" s="1">
        <v>13</v>
      </c>
      <c r="F293" s="1" t="s">
        <v>2599</v>
      </c>
      <c r="G293" s="1" t="s">
        <v>2600</v>
      </c>
      <c r="H293" s="1" t="s">
        <v>2643</v>
      </c>
      <c r="I293" s="1" t="s">
        <v>7</v>
      </c>
      <c r="J293" s="1" t="s">
        <v>2602</v>
      </c>
      <c r="L293" s="1" t="s">
        <v>2602</v>
      </c>
      <c r="M293" s="1" t="s">
        <v>2644</v>
      </c>
      <c r="N293" s="1" t="s">
        <v>2645</v>
      </c>
      <c r="O293" s="1">
        <v>3</v>
      </c>
      <c r="P293" s="1" t="s">
        <v>2646</v>
      </c>
      <c r="Q293" s="1">
        <v>2001</v>
      </c>
      <c r="R293" s="1" t="s">
        <v>2647</v>
      </c>
      <c r="S293" s="1" t="s">
        <v>27</v>
      </c>
      <c r="T293" s="6">
        <v>1</v>
      </c>
      <c r="Z293" s="1">
        <v>73.02</v>
      </c>
      <c r="AE293" s="1">
        <v>18.84</v>
      </c>
      <c r="AH293" s="1">
        <v>5.09</v>
      </c>
      <c r="AK293" s="1">
        <v>1.788498151</v>
      </c>
      <c r="AM293" s="1">
        <v>1.8976596400000001</v>
      </c>
      <c r="AV293" s="1">
        <v>1.17</v>
      </c>
      <c r="EW293" s="1">
        <v>52.79</v>
      </c>
    </row>
    <row r="294" spans="1:153" x14ac:dyDescent="0.2">
      <c r="A294" s="1" t="s">
        <v>2648</v>
      </c>
      <c r="B294" s="1" t="s">
        <v>55</v>
      </c>
      <c r="C294" s="1" t="s">
        <v>238</v>
      </c>
      <c r="D294" s="1" t="s">
        <v>2</v>
      </c>
      <c r="E294" s="1">
        <v>13</v>
      </c>
      <c r="F294" s="1" t="s">
        <v>2599</v>
      </c>
      <c r="G294" s="1" t="s">
        <v>2600</v>
      </c>
      <c r="H294" s="1" t="s">
        <v>2649</v>
      </c>
      <c r="I294" s="1" t="s">
        <v>7</v>
      </c>
      <c r="J294" s="1" t="s">
        <v>2602</v>
      </c>
      <c r="L294" s="1" t="s">
        <v>2602</v>
      </c>
      <c r="M294" s="1" t="s">
        <v>2644</v>
      </c>
      <c r="N294" s="1" t="s">
        <v>2645</v>
      </c>
      <c r="O294" s="1">
        <v>3</v>
      </c>
      <c r="P294" s="1" t="s">
        <v>2646</v>
      </c>
      <c r="Q294" s="1">
        <v>2001</v>
      </c>
      <c r="R294" s="1" t="s">
        <v>2647</v>
      </c>
      <c r="S294" s="1" t="s">
        <v>27</v>
      </c>
      <c r="T294" s="6">
        <v>1</v>
      </c>
      <c r="Z294" s="1">
        <v>71.77</v>
      </c>
      <c r="AE294" s="1">
        <v>20.03</v>
      </c>
      <c r="AH294" s="1">
        <v>6.83</v>
      </c>
      <c r="AK294" s="1">
        <v>2.2220234130000001</v>
      </c>
      <c r="AM294" s="1">
        <v>0.86214757600000003</v>
      </c>
      <c r="AV294" s="1">
        <v>1.1499999999999999</v>
      </c>
      <c r="EW294" s="1">
        <v>51.45</v>
      </c>
    </row>
    <row r="295" spans="1:153" x14ac:dyDescent="0.2">
      <c r="A295" s="1" t="s">
        <v>2650</v>
      </c>
      <c r="B295" s="1" t="s">
        <v>55</v>
      </c>
      <c r="C295" s="1" t="s">
        <v>238</v>
      </c>
      <c r="D295" s="1" t="s">
        <v>2</v>
      </c>
      <c r="E295" s="1">
        <v>13</v>
      </c>
      <c r="F295" s="1" t="s">
        <v>2651</v>
      </c>
      <c r="G295" s="1" t="s">
        <v>2652</v>
      </c>
      <c r="H295" s="1" t="s">
        <v>2653</v>
      </c>
      <c r="I295" s="1" t="s">
        <v>7</v>
      </c>
      <c r="J295" s="1" t="s">
        <v>2654</v>
      </c>
      <c r="K295" s="1" t="s">
        <v>2655</v>
      </c>
      <c r="L295" s="1" t="s">
        <v>1456</v>
      </c>
      <c r="M295" s="1" t="s">
        <v>2644</v>
      </c>
      <c r="N295" s="1" t="s">
        <v>2645</v>
      </c>
      <c r="O295" s="1">
        <v>3</v>
      </c>
      <c r="P295" s="1" t="s">
        <v>2646</v>
      </c>
      <c r="Q295" s="1">
        <v>2001</v>
      </c>
      <c r="R295" s="1" t="s">
        <v>2647</v>
      </c>
      <c r="S295" s="1" t="s">
        <v>27</v>
      </c>
      <c r="T295" s="6">
        <v>1</v>
      </c>
      <c r="Z295" s="1">
        <v>70.48</v>
      </c>
      <c r="AE295" s="1">
        <v>19.63</v>
      </c>
      <c r="AH295" s="1">
        <v>7.94</v>
      </c>
      <c r="AK295" s="1">
        <v>2.4432262260000002</v>
      </c>
      <c r="AM295" s="1">
        <v>1.073769956</v>
      </c>
      <c r="AV295" s="1">
        <v>1.19</v>
      </c>
      <c r="EW295" s="1">
        <v>46.11</v>
      </c>
    </row>
    <row r="296" spans="1:153" x14ac:dyDescent="0.2">
      <c r="A296" s="1" t="s">
        <v>2656</v>
      </c>
      <c r="B296" s="1" t="s">
        <v>55</v>
      </c>
      <c r="C296" s="1" t="s">
        <v>238</v>
      </c>
      <c r="D296" s="1" t="s">
        <v>2</v>
      </c>
      <c r="E296" s="1">
        <v>13</v>
      </c>
      <c r="F296" s="1" t="s">
        <v>2657</v>
      </c>
      <c r="G296" s="1" t="s">
        <v>2658</v>
      </c>
      <c r="H296" s="1" t="s">
        <v>2659</v>
      </c>
      <c r="I296" s="1" t="s">
        <v>7</v>
      </c>
      <c r="J296" s="1" t="s">
        <v>2660</v>
      </c>
      <c r="L296" s="1" t="s">
        <v>2660</v>
      </c>
      <c r="M296" s="1" t="s">
        <v>2644</v>
      </c>
      <c r="N296" s="1" t="s">
        <v>2645</v>
      </c>
      <c r="O296" s="1">
        <v>3</v>
      </c>
      <c r="P296" s="1" t="s">
        <v>2646</v>
      </c>
      <c r="Q296" s="1">
        <v>2001</v>
      </c>
      <c r="R296" s="1" t="s">
        <v>2647</v>
      </c>
      <c r="S296" s="1" t="s">
        <v>27</v>
      </c>
      <c r="T296" s="6">
        <v>1</v>
      </c>
      <c r="Z296" s="1">
        <v>73.37</v>
      </c>
      <c r="AE296" s="1">
        <v>19.059999999999999</v>
      </c>
      <c r="AH296" s="1">
        <v>5.6</v>
      </c>
      <c r="AK296" s="1">
        <v>1.71561568</v>
      </c>
      <c r="AM296" s="1">
        <v>0.95334567999999997</v>
      </c>
      <c r="AV296" s="1">
        <v>1.1299999999999999</v>
      </c>
      <c r="EW296" s="1">
        <v>50.33</v>
      </c>
    </row>
    <row r="297" spans="1:153" x14ac:dyDescent="0.2">
      <c r="A297" s="1" t="s">
        <v>2661</v>
      </c>
      <c r="B297" s="1" t="s">
        <v>55</v>
      </c>
      <c r="C297" s="1" t="s">
        <v>238</v>
      </c>
      <c r="D297" s="1" t="s">
        <v>2</v>
      </c>
      <c r="E297" s="1">
        <v>13</v>
      </c>
      <c r="F297" s="1" t="s">
        <v>2657</v>
      </c>
      <c r="G297" s="1" t="s">
        <v>2658</v>
      </c>
      <c r="H297" s="1" t="s">
        <v>2662</v>
      </c>
      <c r="I297" s="1" t="s">
        <v>7</v>
      </c>
      <c r="J297" s="1" t="s">
        <v>2660</v>
      </c>
      <c r="L297" s="1" t="s">
        <v>2660</v>
      </c>
      <c r="M297" s="1" t="s">
        <v>2644</v>
      </c>
      <c r="N297" s="1" t="s">
        <v>2645</v>
      </c>
      <c r="O297" s="1">
        <v>3</v>
      </c>
      <c r="P297" s="1" t="s">
        <v>2646</v>
      </c>
      <c r="Q297" s="1">
        <v>2001</v>
      </c>
      <c r="R297" s="1" t="s">
        <v>2647</v>
      </c>
      <c r="S297" s="1" t="s">
        <v>27</v>
      </c>
      <c r="T297" s="6">
        <v>1</v>
      </c>
      <c r="Z297" s="1">
        <v>73.98</v>
      </c>
      <c r="AE297" s="1">
        <v>19.739999999999998</v>
      </c>
      <c r="AH297" s="1">
        <v>3.74</v>
      </c>
      <c r="AK297" s="1">
        <v>1.19299873</v>
      </c>
      <c r="AM297" s="1">
        <v>0.49460087600000002</v>
      </c>
      <c r="AV297" s="1">
        <v>1.32</v>
      </c>
      <c r="EW297" s="1">
        <v>49.68</v>
      </c>
    </row>
    <row r="298" spans="1:153" x14ac:dyDescent="0.2">
      <c r="A298" s="1" t="s">
        <v>2663</v>
      </c>
      <c r="B298" s="1" t="s">
        <v>55</v>
      </c>
      <c r="C298" s="1" t="s">
        <v>2664</v>
      </c>
      <c r="D298" s="1" t="s">
        <v>2</v>
      </c>
      <c r="E298" s="1">
        <v>13</v>
      </c>
      <c r="F298" s="1" t="s">
        <v>1448</v>
      </c>
      <c r="G298" s="1" t="s">
        <v>1449</v>
      </c>
      <c r="H298" s="1" t="s">
        <v>2665</v>
      </c>
      <c r="I298" s="1" t="s">
        <v>7</v>
      </c>
      <c r="J298" s="1" t="s">
        <v>1451</v>
      </c>
      <c r="K298" s="1" t="s">
        <v>1452</v>
      </c>
      <c r="L298" s="1" t="s">
        <v>2666</v>
      </c>
      <c r="M298" s="1" t="s">
        <v>2667</v>
      </c>
      <c r="N298" s="1" t="s">
        <v>2668</v>
      </c>
      <c r="O298" s="1">
        <v>3</v>
      </c>
      <c r="P298" s="1" t="s">
        <v>2669</v>
      </c>
      <c r="Q298" s="1">
        <v>2009</v>
      </c>
      <c r="R298" s="1" t="s">
        <v>2670</v>
      </c>
      <c r="S298" s="1" t="s">
        <v>27</v>
      </c>
      <c r="T298" s="6">
        <v>1</v>
      </c>
      <c r="Z298" s="1">
        <v>71</v>
      </c>
      <c r="AE298" s="1">
        <v>17.899999999999999</v>
      </c>
      <c r="AH298" s="1">
        <v>8.9</v>
      </c>
      <c r="AK298" s="1">
        <v>3.1921287135575902</v>
      </c>
      <c r="AL298" s="1">
        <v>3.60376718927896</v>
      </c>
      <c r="AM298" s="1">
        <v>1.22693654437415</v>
      </c>
      <c r="AN298" s="1">
        <v>0.13786755278929799</v>
      </c>
      <c r="AV298" s="1">
        <v>1.1000000000000001</v>
      </c>
    </row>
    <row r="299" spans="1:153" x14ac:dyDescent="0.2">
      <c r="A299" s="1" t="s">
        <v>2671</v>
      </c>
      <c r="B299" s="1" t="s">
        <v>55</v>
      </c>
      <c r="C299" s="1" t="s">
        <v>2664</v>
      </c>
      <c r="D299" s="1" t="s">
        <v>2</v>
      </c>
      <c r="E299" s="1">
        <v>13</v>
      </c>
      <c r="F299" s="1" t="s">
        <v>1434</v>
      </c>
      <c r="G299" s="1" t="s">
        <v>1435</v>
      </c>
      <c r="H299" s="1" t="s">
        <v>2672</v>
      </c>
      <c r="I299" s="1" t="s">
        <v>7</v>
      </c>
      <c r="J299" s="1" t="s">
        <v>1438</v>
      </c>
      <c r="K299" s="1" t="s">
        <v>1435</v>
      </c>
      <c r="L299" s="1" t="s">
        <v>1438</v>
      </c>
      <c r="M299" s="1" t="s">
        <v>2667</v>
      </c>
      <c r="N299" s="1" t="s">
        <v>2673</v>
      </c>
      <c r="O299" s="1">
        <v>3</v>
      </c>
      <c r="P299" s="1" t="s">
        <v>2669</v>
      </c>
      <c r="Q299" s="1">
        <v>2009</v>
      </c>
      <c r="R299" s="1" t="s">
        <v>2670</v>
      </c>
      <c r="S299" s="1" t="s">
        <v>27</v>
      </c>
      <c r="T299" s="6">
        <v>1</v>
      </c>
      <c r="Z299" s="1">
        <v>70.099999999999994</v>
      </c>
      <c r="AE299" s="1">
        <v>15</v>
      </c>
      <c r="AH299" s="1">
        <v>12.2</v>
      </c>
      <c r="AK299" s="1">
        <v>4.0602294238757297</v>
      </c>
      <c r="AL299" s="1">
        <v>5.9075256407918904</v>
      </c>
      <c r="AM299" s="1">
        <v>1.1154357764645499</v>
      </c>
      <c r="AN299" s="1">
        <v>0.15640915886783199</v>
      </c>
      <c r="AV299" s="1">
        <v>1.1000000000000001</v>
      </c>
    </row>
    <row r="300" spans="1:153" x14ac:dyDescent="0.2">
      <c r="A300" s="1" t="s">
        <v>2674</v>
      </c>
      <c r="B300" s="1" t="s">
        <v>55</v>
      </c>
      <c r="C300" s="1" t="s">
        <v>2675</v>
      </c>
      <c r="D300" s="1" t="s">
        <v>2</v>
      </c>
      <c r="E300" s="1">
        <v>13</v>
      </c>
      <c r="F300" s="1" t="s">
        <v>1695</v>
      </c>
      <c r="H300" s="1" t="s">
        <v>2676</v>
      </c>
      <c r="I300" s="1" t="s">
        <v>7</v>
      </c>
      <c r="J300" s="1" t="s">
        <v>1697</v>
      </c>
      <c r="K300" s="1" t="s">
        <v>1698</v>
      </c>
      <c r="L300" s="1" t="s">
        <v>1697</v>
      </c>
      <c r="M300" s="1" t="s">
        <v>481</v>
      </c>
      <c r="N300" s="1" t="s">
        <v>2677</v>
      </c>
      <c r="O300" s="1">
        <v>10</v>
      </c>
      <c r="P300" s="1" t="s">
        <v>1270</v>
      </c>
      <c r="Q300" s="1">
        <v>2008</v>
      </c>
      <c r="R300" s="1" t="s">
        <v>2678</v>
      </c>
      <c r="S300" s="1" t="s">
        <v>27</v>
      </c>
      <c r="T300" s="6">
        <v>1</v>
      </c>
      <c r="AI300" s="1">
        <v>2.4</v>
      </c>
      <c r="AK300" s="1">
        <v>0.56723171999999999</v>
      </c>
      <c r="AL300" s="1">
        <v>0.64772580000000002</v>
      </c>
      <c r="AM300" s="1">
        <v>0.88124248000000005</v>
      </c>
    </row>
    <row r="301" spans="1:153" x14ac:dyDescent="0.2">
      <c r="A301" s="1" t="s">
        <v>2679</v>
      </c>
      <c r="B301" s="1" t="s">
        <v>55</v>
      </c>
      <c r="C301" s="1" t="s">
        <v>2680</v>
      </c>
      <c r="D301" s="1" t="s">
        <v>2</v>
      </c>
      <c r="E301" s="1">
        <v>13</v>
      </c>
      <c r="F301" s="1" t="s">
        <v>2681</v>
      </c>
      <c r="H301" s="1" t="s">
        <v>2682</v>
      </c>
      <c r="I301" s="1" t="s">
        <v>7</v>
      </c>
      <c r="J301" s="1" t="s">
        <v>2683</v>
      </c>
      <c r="K301" s="1" t="s">
        <v>2684</v>
      </c>
      <c r="L301" s="1" t="s">
        <v>2685</v>
      </c>
      <c r="N301" s="1" t="s">
        <v>2686</v>
      </c>
      <c r="Q301" s="1">
        <v>2008</v>
      </c>
      <c r="R301" s="1" t="s">
        <v>2687</v>
      </c>
      <c r="S301" s="1" t="s">
        <v>27</v>
      </c>
      <c r="T301" s="6">
        <v>1</v>
      </c>
      <c r="V301" s="1">
        <v>612</v>
      </c>
      <c r="Z301" s="1">
        <v>76.25</v>
      </c>
      <c r="AA301" s="1">
        <v>6.25</v>
      </c>
      <c r="AC301" s="1">
        <v>19.27</v>
      </c>
      <c r="AH301" s="1">
        <v>3.98</v>
      </c>
      <c r="AK301" s="1">
        <v>0.94564800000000004</v>
      </c>
      <c r="AL301" s="1">
        <v>1.0435559999999999</v>
      </c>
      <c r="AM301" s="1">
        <v>1.100868</v>
      </c>
      <c r="AV301" s="1" t="s">
        <v>2688</v>
      </c>
    </row>
    <row r="302" spans="1:153" x14ac:dyDescent="0.2">
      <c r="A302" s="1" t="s">
        <v>2689</v>
      </c>
      <c r="B302" s="1" t="s">
        <v>55</v>
      </c>
      <c r="C302" s="1" t="s">
        <v>2680</v>
      </c>
      <c r="D302" s="1" t="s">
        <v>2</v>
      </c>
      <c r="E302" s="1">
        <v>13</v>
      </c>
      <c r="F302" s="1" t="s">
        <v>2681</v>
      </c>
      <c r="H302" s="1" t="s">
        <v>2690</v>
      </c>
      <c r="I302" s="1" t="s">
        <v>7</v>
      </c>
      <c r="J302" s="1" t="s">
        <v>2683</v>
      </c>
      <c r="K302" s="1" t="s">
        <v>2684</v>
      </c>
      <c r="L302" s="1" t="s">
        <v>2685</v>
      </c>
      <c r="N302" s="1" t="s">
        <v>2691</v>
      </c>
      <c r="Q302" s="1">
        <v>2008</v>
      </c>
      <c r="R302" s="1" t="s">
        <v>2687</v>
      </c>
      <c r="S302" s="1" t="s">
        <v>27</v>
      </c>
      <c r="T302" s="6">
        <v>1</v>
      </c>
      <c r="V302" s="1">
        <v>592</v>
      </c>
      <c r="Z302" s="1">
        <v>77.14</v>
      </c>
      <c r="AA302" s="1">
        <v>6.25</v>
      </c>
      <c r="AC302" s="1">
        <v>18.670000000000002</v>
      </c>
      <c r="AH302" s="1">
        <v>3.82</v>
      </c>
      <c r="AK302" s="1">
        <v>0.94468600000000003</v>
      </c>
      <c r="AL302" s="1">
        <v>1.1379779999999999</v>
      </c>
      <c r="AM302" s="1">
        <v>1.1295740000000001</v>
      </c>
      <c r="AV302" s="1" t="s">
        <v>2692</v>
      </c>
    </row>
    <row r="303" spans="1:153" x14ac:dyDescent="0.2">
      <c r="A303" s="1" t="s">
        <v>2693</v>
      </c>
      <c r="B303" s="1" t="s">
        <v>55</v>
      </c>
      <c r="C303" s="1" t="s">
        <v>2680</v>
      </c>
      <c r="D303" s="1" t="s">
        <v>2</v>
      </c>
      <c r="E303" s="1">
        <v>13</v>
      </c>
      <c r="F303" s="1" t="s">
        <v>2681</v>
      </c>
      <c r="H303" s="1" t="s">
        <v>2694</v>
      </c>
      <c r="I303" s="1" t="s">
        <v>7</v>
      </c>
      <c r="J303" s="1" t="s">
        <v>2683</v>
      </c>
      <c r="K303" s="1" t="s">
        <v>2684</v>
      </c>
      <c r="L303" s="1" t="s">
        <v>2685</v>
      </c>
      <c r="N303" s="1" t="s">
        <v>2695</v>
      </c>
      <c r="Q303" s="1">
        <v>2008</v>
      </c>
      <c r="R303" s="1" t="s">
        <v>2687</v>
      </c>
      <c r="S303" s="1" t="s">
        <v>27</v>
      </c>
      <c r="T303" s="6">
        <v>1</v>
      </c>
      <c r="V303" s="1">
        <v>593</v>
      </c>
      <c r="Z303" s="1">
        <v>77.63</v>
      </c>
      <c r="AA303" s="1">
        <v>6.25</v>
      </c>
      <c r="AC303" s="1">
        <v>17.829999999999998</v>
      </c>
      <c r="AH303" s="1">
        <v>4.3600000000000003</v>
      </c>
      <c r="AK303" s="1">
        <v>1.1022080000000001</v>
      </c>
      <c r="AL303" s="1">
        <v>1.2761720000000001</v>
      </c>
      <c r="AM303" s="1">
        <v>1.273992</v>
      </c>
      <c r="AV303" s="1" t="s">
        <v>2692</v>
      </c>
    </row>
    <row r="304" spans="1:153" x14ac:dyDescent="0.2">
      <c r="A304" s="1" t="s">
        <v>2696</v>
      </c>
      <c r="B304" s="1" t="s">
        <v>55</v>
      </c>
      <c r="C304" s="1" t="s">
        <v>2697</v>
      </c>
      <c r="D304" s="1" t="s">
        <v>2</v>
      </c>
      <c r="E304" s="1">
        <v>21</v>
      </c>
      <c r="F304" s="1" t="s">
        <v>2698</v>
      </c>
      <c r="H304" s="1" t="s">
        <v>2699</v>
      </c>
      <c r="I304" s="1" t="s">
        <v>7</v>
      </c>
      <c r="J304" s="1" t="s">
        <v>2700</v>
      </c>
      <c r="K304" s="1" t="s">
        <v>2701</v>
      </c>
      <c r="L304" s="1" t="s">
        <v>2700</v>
      </c>
      <c r="M304" s="1" t="s">
        <v>2702</v>
      </c>
      <c r="N304" s="1" t="s">
        <v>2703</v>
      </c>
      <c r="O304" s="1">
        <v>1</v>
      </c>
      <c r="Q304" s="1">
        <v>1991</v>
      </c>
      <c r="R304" s="1" t="s">
        <v>2704</v>
      </c>
      <c r="S304" s="1" t="s">
        <v>27</v>
      </c>
      <c r="T304" s="6">
        <v>1</v>
      </c>
      <c r="U304" s="1">
        <v>0.33500000000000002</v>
      </c>
      <c r="Z304" s="1">
        <v>81.900000000000006</v>
      </c>
      <c r="AC304" s="1">
        <v>15.8</v>
      </c>
      <c r="AI304" s="1">
        <v>1.53</v>
      </c>
      <c r="AV304" s="1">
        <v>0.93</v>
      </c>
      <c r="BF304" s="1">
        <v>1.98</v>
      </c>
    </row>
    <row r="305" spans="1:162" x14ac:dyDescent="0.2">
      <c r="A305" s="1" t="s">
        <v>2705</v>
      </c>
      <c r="B305" s="1" t="s">
        <v>55</v>
      </c>
      <c r="C305" s="1" t="s">
        <v>2697</v>
      </c>
      <c r="D305" s="1" t="s">
        <v>2</v>
      </c>
      <c r="E305" s="1">
        <v>21</v>
      </c>
      <c r="F305" s="1" t="s">
        <v>2698</v>
      </c>
      <c r="H305" s="1" t="s">
        <v>2706</v>
      </c>
      <c r="I305" s="1" t="s">
        <v>7</v>
      </c>
      <c r="J305" s="1" t="s">
        <v>2700</v>
      </c>
      <c r="K305" s="1" t="s">
        <v>2701</v>
      </c>
      <c r="L305" s="1" t="s">
        <v>2700</v>
      </c>
      <c r="M305" s="1" t="s">
        <v>2702</v>
      </c>
      <c r="N305" s="1" t="s">
        <v>2707</v>
      </c>
      <c r="O305" s="1">
        <v>1</v>
      </c>
      <c r="Q305" s="1">
        <v>1991</v>
      </c>
      <c r="R305" s="1" t="s">
        <v>2704</v>
      </c>
      <c r="S305" s="1" t="s">
        <v>27</v>
      </c>
      <c r="T305" s="6">
        <v>1</v>
      </c>
      <c r="U305" s="1">
        <v>0.33500000000000002</v>
      </c>
      <c r="Z305" s="1">
        <v>83.8</v>
      </c>
      <c r="AC305" s="1">
        <v>15.9</v>
      </c>
      <c r="AI305" s="1">
        <v>0.27</v>
      </c>
      <c r="AV305" s="1">
        <v>1</v>
      </c>
      <c r="BF305" s="1">
        <v>0.64</v>
      </c>
    </row>
    <row r="306" spans="1:162" x14ac:dyDescent="0.2">
      <c r="A306" s="1" t="s">
        <v>2708</v>
      </c>
      <c r="B306" s="1" t="s">
        <v>55</v>
      </c>
      <c r="C306" s="1" t="s">
        <v>2709</v>
      </c>
      <c r="D306" s="1" t="s">
        <v>2</v>
      </c>
      <c r="E306" s="1">
        <v>22</v>
      </c>
      <c r="F306" s="1" t="s">
        <v>2710</v>
      </c>
      <c r="H306" s="1" t="s">
        <v>2711</v>
      </c>
      <c r="I306" s="1" t="s">
        <v>7</v>
      </c>
      <c r="J306" s="1" t="s">
        <v>2712</v>
      </c>
      <c r="K306" s="1" t="s">
        <v>2713</v>
      </c>
      <c r="L306" s="1" t="s">
        <v>2712</v>
      </c>
      <c r="N306" s="1" t="s">
        <v>2714</v>
      </c>
      <c r="O306" s="1">
        <v>3</v>
      </c>
      <c r="P306" s="1" t="s">
        <v>2715</v>
      </c>
      <c r="Q306" s="1">
        <v>2009</v>
      </c>
      <c r="R306" s="1" t="s">
        <v>2716</v>
      </c>
      <c r="S306" s="1" t="s">
        <v>27</v>
      </c>
      <c r="T306" s="6">
        <v>1</v>
      </c>
      <c r="Z306" s="1">
        <v>67.400000000000006</v>
      </c>
      <c r="AE306" s="1">
        <v>18.899999999999999</v>
      </c>
      <c r="AH306" s="1">
        <v>13.1</v>
      </c>
      <c r="FA306" s="1">
        <v>1.4672000000000001</v>
      </c>
      <c r="FE306" s="1">
        <v>8.8948999999999998</v>
      </c>
      <c r="FF306" s="1">
        <v>589.5</v>
      </c>
    </row>
    <row r="307" spans="1:162" x14ac:dyDescent="0.2">
      <c r="A307" s="1" t="s">
        <v>2717</v>
      </c>
      <c r="B307" s="1" t="s">
        <v>55</v>
      </c>
      <c r="C307" s="1" t="s">
        <v>236</v>
      </c>
      <c r="E307" s="1">
        <v>22</v>
      </c>
      <c r="F307" s="1" t="s">
        <v>1754</v>
      </c>
      <c r="H307" s="1" t="s">
        <v>2718</v>
      </c>
      <c r="I307" s="1" t="s">
        <v>11</v>
      </c>
      <c r="J307" s="1" t="s">
        <v>1756</v>
      </c>
      <c r="K307" s="1" t="s">
        <v>1757</v>
      </c>
      <c r="L307" s="1" t="s">
        <v>1756</v>
      </c>
      <c r="O307" s="1">
        <v>3</v>
      </c>
      <c r="Q307" s="1">
        <v>2010</v>
      </c>
      <c r="R307" s="1" t="s">
        <v>2719</v>
      </c>
      <c r="S307" s="1" t="s">
        <v>27</v>
      </c>
      <c r="T307" s="6">
        <v>1</v>
      </c>
      <c r="W307" s="1" t="s">
        <v>2720</v>
      </c>
      <c r="Z307" s="1" t="s">
        <v>2721</v>
      </c>
      <c r="AC307" s="1" t="s">
        <v>2722</v>
      </c>
      <c r="AI307" s="1" t="s">
        <v>2723</v>
      </c>
      <c r="AV307" s="1" t="s">
        <v>1225</v>
      </c>
      <c r="AY307" s="1">
        <v>28.22</v>
      </c>
      <c r="BH307" s="1">
        <v>171.03</v>
      </c>
      <c r="BJ307" s="1">
        <v>22.61</v>
      </c>
      <c r="BM307" s="1">
        <v>469.57</v>
      </c>
      <c r="BN307" s="1">
        <v>1500</v>
      </c>
    </row>
    <row r="308" spans="1:162" x14ac:dyDescent="0.2">
      <c r="A308" s="1" t="s">
        <v>2724</v>
      </c>
      <c r="B308" s="1" t="s">
        <v>55</v>
      </c>
      <c r="C308" s="1" t="s">
        <v>236</v>
      </c>
      <c r="E308" s="1">
        <v>33</v>
      </c>
      <c r="F308" s="1" t="s">
        <v>1289</v>
      </c>
      <c r="H308" s="1" t="s">
        <v>2725</v>
      </c>
      <c r="I308" s="1" t="s">
        <v>11</v>
      </c>
      <c r="J308" s="1" t="s">
        <v>1291</v>
      </c>
      <c r="K308" s="1" t="s">
        <v>1292</v>
      </c>
      <c r="L308" s="1" t="s">
        <v>1291</v>
      </c>
      <c r="O308" s="1">
        <v>3</v>
      </c>
      <c r="Q308" s="1">
        <v>2010</v>
      </c>
      <c r="R308" s="1" t="s">
        <v>2719</v>
      </c>
      <c r="S308" s="1" t="s">
        <v>27</v>
      </c>
      <c r="T308" s="6">
        <v>1</v>
      </c>
      <c r="W308" s="1">
        <v>93.8</v>
      </c>
      <c r="Z308" s="1">
        <v>75.900000000000006</v>
      </c>
      <c r="AC308" s="1">
        <v>20.7</v>
      </c>
      <c r="AI308" s="1">
        <v>0.51</v>
      </c>
      <c r="AV308" s="1">
        <v>4.7</v>
      </c>
      <c r="AY308" s="1">
        <v>24.78</v>
      </c>
      <c r="BH308" s="1">
        <v>383.42</v>
      </c>
      <c r="BJ308" s="1">
        <v>32.1</v>
      </c>
      <c r="BM308" s="1">
        <v>1506.64</v>
      </c>
      <c r="BN308" s="1">
        <v>3500</v>
      </c>
    </row>
    <row r="309" spans="1:162" x14ac:dyDescent="0.2">
      <c r="A309" s="1" t="s">
        <v>2726</v>
      </c>
      <c r="B309" s="1" t="s">
        <v>55</v>
      </c>
      <c r="C309" s="1" t="s">
        <v>2727</v>
      </c>
      <c r="D309" s="1" t="s">
        <v>2</v>
      </c>
      <c r="E309" s="1">
        <v>23</v>
      </c>
      <c r="F309" s="1" t="s">
        <v>1274</v>
      </c>
      <c r="H309" s="1" t="s">
        <v>2728</v>
      </c>
      <c r="I309" s="1" t="s">
        <v>11</v>
      </c>
      <c r="J309" s="1" t="s">
        <v>1276</v>
      </c>
      <c r="K309" s="1" t="s">
        <v>1277</v>
      </c>
      <c r="L309" s="1" t="s">
        <v>1276</v>
      </c>
      <c r="O309" s="1">
        <v>3</v>
      </c>
      <c r="Q309" s="1">
        <v>2010</v>
      </c>
      <c r="R309" s="1" t="s">
        <v>2719</v>
      </c>
      <c r="S309" s="1" t="s">
        <v>27</v>
      </c>
      <c r="T309" s="6">
        <v>1</v>
      </c>
      <c r="W309" s="1">
        <v>205.6</v>
      </c>
      <c r="Z309" s="1">
        <v>61.1</v>
      </c>
      <c r="AC309" s="1">
        <v>20.7</v>
      </c>
      <c r="AI309" s="1">
        <v>13</v>
      </c>
      <c r="AV309" s="1">
        <v>4.0999999999999996</v>
      </c>
      <c r="AY309" s="1">
        <v>38.590000000000003</v>
      </c>
      <c r="BH309" s="1">
        <v>312.25</v>
      </c>
      <c r="BJ309" s="1">
        <v>31.5</v>
      </c>
      <c r="BM309" s="1">
        <v>1366.29</v>
      </c>
      <c r="BN309" s="1">
        <v>2970</v>
      </c>
    </row>
    <row r="310" spans="1:162" x14ac:dyDescent="0.2">
      <c r="A310" s="1" t="s">
        <v>2729</v>
      </c>
      <c r="B310" s="1" t="s">
        <v>55</v>
      </c>
      <c r="C310" s="1" t="s">
        <v>2584</v>
      </c>
      <c r="D310" s="1" t="s">
        <v>2</v>
      </c>
      <c r="E310" s="1">
        <v>23</v>
      </c>
      <c r="F310" s="1" t="s">
        <v>1274</v>
      </c>
      <c r="H310" s="1" t="s">
        <v>2730</v>
      </c>
      <c r="I310" s="1" t="s">
        <v>11</v>
      </c>
      <c r="J310" s="1" t="s">
        <v>1276</v>
      </c>
      <c r="K310" s="1" t="s">
        <v>1277</v>
      </c>
      <c r="L310" s="1" t="s">
        <v>1276</v>
      </c>
      <c r="O310" s="1">
        <v>3</v>
      </c>
      <c r="Q310" s="1">
        <v>2010</v>
      </c>
      <c r="R310" s="1" t="s">
        <v>2719</v>
      </c>
      <c r="S310" s="1" t="s">
        <v>27</v>
      </c>
      <c r="T310" s="6">
        <v>1</v>
      </c>
      <c r="W310" s="1">
        <v>211.9</v>
      </c>
      <c r="Z310" s="1">
        <v>61.2</v>
      </c>
      <c r="AC310" s="1">
        <v>22.3</v>
      </c>
      <c r="AI310" s="1">
        <v>12.9</v>
      </c>
      <c r="AV310" s="1">
        <v>4</v>
      </c>
      <c r="AY310" s="1">
        <v>19.12</v>
      </c>
      <c r="BH310" s="1">
        <v>254.25</v>
      </c>
      <c r="BJ310" s="1">
        <v>56.19</v>
      </c>
      <c r="BM310" s="1">
        <v>5285.66</v>
      </c>
      <c r="BN310" s="1">
        <v>2660</v>
      </c>
      <c r="DP310" s="1">
        <v>0.43</v>
      </c>
    </row>
    <row r="311" spans="1:162" x14ac:dyDescent="0.2">
      <c r="A311" s="1" t="s">
        <v>2731</v>
      </c>
      <c r="B311" s="1" t="s">
        <v>55</v>
      </c>
      <c r="C311" s="1" t="s">
        <v>2732</v>
      </c>
      <c r="D311" s="1" t="s">
        <v>2</v>
      </c>
      <c r="E311" s="1">
        <v>23</v>
      </c>
      <c r="F311" s="1" t="s">
        <v>1274</v>
      </c>
      <c r="H311" s="1" t="s">
        <v>2730</v>
      </c>
      <c r="I311" s="1" t="s">
        <v>11</v>
      </c>
      <c r="J311" s="1" t="s">
        <v>1276</v>
      </c>
      <c r="K311" s="1" t="s">
        <v>1277</v>
      </c>
      <c r="L311" s="1" t="s">
        <v>1276</v>
      </c>
      <c r="O311" s="1">
        <v>3</v>
      </c>
      <c r="Q311" s="1">
        <v>2010</v>
      </c>
      <c r="R311" s="1" t="s">
        <v>2719</v>
      </c>
      <c r="S311" s="1" t="s">
        <v>27</v>
      </c>
      <c r="T311" s="6">
        <v>1</v>
      </c>
      <c r="W311" s="1">
        <v>192.9</v>
      </c>
      <c r="Z311" s="1">
        <v>63.1</v>
      </c>
      <c r="AC311" s="1">
        <v>22.5</v>
      </c>
      <c r="AI311" s="1">
        <v>10.7</v>
      </c>
      <c r="AV311" s="1">
        <v>3.5</v>
      </c>
      <c r="AY311" s="1">
        <v>93.01</v>
      </c>
      <c r="BH311" s="1">
        <v>477.04</v>
      </c>
      <c r="BJ311" s="1">
        <v>55.13</v>
      </c>
      <c r="BM311" s="1">
        <v>950.72</v>
      </c>
      <c r="BN311" s="1">
        <v>2380</v>
      </c>
      <c r="DP311" s="1">
        <v>7.3999999999999996E-2</v>
      </c>
    </row>
    <row r="312" spans="1:162" x14ac:dyDescent="0.2">
      <c r="A312" s="1" t="s">
        <v>2733</v>
      </c>
      <c r="B312" s="1" t="s">
        <v>55</v>
      </c>
      <c r="C312" s="1" t="s">
        <v>2734</v>
      </c>
      <c r="D312" s="1" t="s">
        <v>2</v>
      </c>
      <c r="E312" s="1">
        <v>23</v>
      </c>
      <c r="F312" s="1" t="s">
        <v>1735</v>
      </c>
      <c r="H312" s="1" t="s">
        <v>2735</v>
      </c>
      <c r="I312" s="1" t="s">
        <v>11</v>
      </c>
      <c r="J312" s="1" t="s">
        <v>1738</v>
      </c>
      <c r="K312" s="1" t="s">
        <v>1739</v>
      </c>
      <c r="L312" s="1" t="s">
        <v>1738</v>
      </c>
      <c r="O312" s="1">
        <v>3</v>
      </c>
      <c r="Q312" s="1">
        <v>2010</v>
      </c>
      <c r="R312" s="1" t="s">
        <v>2719</v>
      </c>
      <c r="S312" s="1" t="s">
        <v>27</v>
      </c>
      <c r="T312" s="6">
        <v>1</v>
      </c>
      <c r="W312" s="1">
        <v>179.4</v>
      </c>
      <c r="Z312" s="1">
        <v>65.2</v>
      </c>
      <c r="AC312" s="1">
        <v>16.5</v>
      </c>
      <c r="AI312" s="1">
        <v>12</v>
      </c>
      <c r="AV312" s="1">
        <v>5.2</v>
      </c>
      <c r="AY312" s="1">
        <v>116.11</v>
      </c>
      <c r="BH312" s="1">
        <v>367.72</v>
      </c>
      <c r="BJ312" s="1">
        <v>41.94</v>
      </c>
      <c r="BM312" s="1">
        <v>972.77</v>
      </c>
      <c r="BN312" s="1">
        <v>3090</v>
      </c>
    </row>
    <row r="313" spans="1:162" x14ac:dyDescent="0.2">
      <c r="A313" s="1" t="s">
        <v>2736</v>
      </c>
      <c r="B313" s="1" t="s">
        <v>55</v>
      </c>
      <c r="C313" s="1" t="s">
        <v>2737</v>
      </c>
      <c r="D313" s="1" t="s">
        <v>4</v>
      </c>
      <c r="E313" s="1">
        <v>33</v>
      </c>
      <c r="F313" s="1" t="s">
        <v>2738</v>
      </c>
      <c r="G313" s="1" t="s">
        <v>2739</v>
      </c>
      <c r="H313" s="1" t="s">
        <v>2740</v>
      </c>
      <c r="I313" s="1" t="s">
        <v>7</v>
      </c>
      <c r="L313" s="1" t="s">
        <v>2741</v>
      </c>
      <c r="M313" s="1" t="s">
        <v>2742</v>
      </c>
      <c r="N313" s="1" t="s">
        <v>2743</v>
      </c>
      <c r="O313" s="1">
        <v>1</v>
      </c>
      <c r="Q313" s="1">
        <v>1997</v>
      </c>
      <c r="R313" s="1" t="s">
        <v>2744</v>
      </c>
      <c r="S313" s="1" t="s">
        <v>27</v>
      </c>
      <c r="T313" s="6">
        <v>1</v>
      </c>
      <c r="Y313" s="1">
        <v>19.399999999999999</v>
      </c>
      <c r="BG313" s="1">
        <v>32.799999999999997</v>
      </c>
    </row>
    <row r="314" spans="1:162" x14ac:dyDescent="0.2">
      <c r="A314" s="1" t="s">
        <v>2745</v>
      </c>
      <c r="B314" s="1" t="s">
        <v>55</v>
      </c>
      <c r="C314" s="1" t="s">
        <v>2737</v>
      </c>
      <c r="D314" s="1" t="s">
        <v>4</v>
      </c>
      <c r="E314" s="1">
        <v>33</v>
      </c>
      <c r="F314" s="1" t="s">
        <v>2738</v>
      </c>
      <c r="G314" s="1" t="s">
        <v>2739</v>
      </c>
      <c r="H314" s="1" t="s">
        <v>2746</v>
      </c>
      <c r="I314" s="1" t="s">
        <v>7</v>
      </c>
      <c r="L314" s="1" t="s">
        <v>2741</v>
      </c>
      <c r="M314" s="1" t="s">
        <v>2742</v>
      </c>
      <c r="N314" s="1" t="s">
        <v>2747</v>
      </c>
      <c r="O314" s="1">
        <v>1</v>
      </c>
      <c r="Q314" s="1">
        <v>1997</v>
      </c>
      <c r="R314" s="1" t="s">
        <v>2744</v>
      </c>
      <c r="S314" s="1" t="s">
        <v>27</v>
      </c>
      <c r="T314" s="6">
        <v>1</v>
      </c>
      <c r="Y314" s="1">
        <v>19.2</v>
      </c>
      <c r="BG314" s="1">
        <v>88.4</v>
      </c>
    </row>
    <row r="315" spans="1:162" x14ac:dyDescent="0.2">
      <c r="A315" s="1" t="s">
        <v>2748</v>
      </c>
      <c r="B315" s="1" t="s">
        <v>55</v>
      </c>
      <c r="C315" s="1" t="s">
        <v>2737</v>
      </c>
      <c r="D315" s="1" t="s">
        <v>4</v>
      </c>
      <c r="E315" s="1">
        <v>33</v>
      </c>
      <c r="F315" s="1" t="s">
        <v>2738</v>
      </c>
      <c r="G315" s="1" t="s">
        <v>2739</v>
      </c>
      <c r="H315" s="1" t="s">
        <v>2749</v>
      </c>
      <c r="I315" s="1" t="s">
        <v>7</v>
      </c>
      <c r="L315" s="1" t="s">
        <v>2741</v>
      </c>
      <c r="M315" s="1" t="s">
        <v>2742</v>
      </c>
      <c r="N315" s="1" t="s">
        <v>2750</v>
      </c>
      <c r="O315" s="1">
        <v>1</v>
      </c>
      <c r="Q315" s="1">
        <v>1997</v>
      </c>
      <c r="R315" s="1" t="s">
        <v>2744</v>
      </c>
      <c r="S315" s="1" t="s">
        <v>27</v>
      </c>
      <c r="T315" s="6">
        <v>1</v>
      </c>
      <c r="Y315" s="1">
        <v>19.2</v>
      </c>
      <c r="BG315" s="1">
        <v>92.2</v>
      </c>
    </row>
    <row r="316" spans="1:162" x14ac:dyDescent="0.2">
      <c r="A316" s="1" t="s">
        <v>2751</v>
      </c>
      <c r="B316" s="1" t="s">
        <v>55</v>
      </c>
      <c r="C316" s="1" t="s">
        <v>2737</v>
      </c>
      <c r="D316" s="1" t="s">
        <v>4</v>
      </c>
      <c r="E316" s="1">
        <v>33</v>
      </c>
      <c r="F316" s="1" t="s">
        <v>2752</v>
      </c>
      <c r="G316" s="1" t="s">
        <v>2753</v>
      </c>
      <c r="H316" s="1" t="s">
        <v>2754</v>
      </c>
      <c r="I316" s="1" t="s">
        <v>7</v>
      </c>
      <c r="K316" s="1" t="s">
        <v>2755</v>
      </c>
      <c r="L316" s="1" t="s">
        <v>2756</v>
      </c>
      <c r="M316" s="1" t="s">
        <v>2742</v>
      </c>
      <c r="N316" s="1" t="s">
        <v>2757</v>
      </c>
      <c r="O316" s="1">
        <v>1</v>
      </c>
      <c r="Q316" s="1">
        <v>1997</v>
      </c>
      <c r="R316" s="1" t="s">
        <v>2744</v>
      </c>
      <c r="S316" s="1" t="s">
        <v>27</v>
      </c>
      <c r="T316" s="6">
        <v>1</v>
      </c>
      <c r="Y316" s="1">
        <v>18.7</v>
      </c>
      <c r="BG316" s="1">
        <v>19.399999999999999</v>
      </c>
    </row>
    <row r="317" spans="1:162" x14ac:dyDescent="0.2">
      <c r="A317" s="1" t="s">
        <v>2758</v>
      </c>
      <c r="B317" s="1" t="s">
        <v>55</v>
      </c>
      <c r="C317" s="1" t="s">
        <v>2737</v>
      </c>
      <c r="D317" s="1" t="s">
        <v>4</v>
      </c>
      <c r="E317" s="1">
        <v>33</v>
      </c>
      <c r="F317" s="1" t="s">
        <v>2752</v>
      </c>
      <c r="G317" s="1" t="s">
        <v>2753</v>
      </c>
      <c r="H317" s="1" t="s">
        <v>2759</v>
      </c>
      <c r="I317" s="1" t="s">
        <v>7</v>
      </c>
      <c r="K317" s="1" t="s">
        <v>2755</v>
      </c>
      <c r="L317" s="1" t="s">
        <v>2756</v>
      </c>
      <c r="M317" s="1" t="s">
        <v>2742</v>
      </c>
      <c r="N317" s="1" t="s">
        <v>2760</v>
      </c>
      <c r="O317" s="1">
        <v>1</v>
      </c>
      <c r="Q317" s="1">
        <v>1997</v>
      </c>
      <c r="R317" s="1" t="s">
        <v>2744</v>
      </c>
      <c r="S317" s="1" t="s">
        <v>27</v>
      </c>
      <c r="T317" s="6">
        <v>1</v>
      </c>
      <c r="Y317" s="1">
        <v>18.399999999999999</v>
      </c>
      <c r="BG317" s="1">
        <v>12.2</v>
      </c>
    </row>
    <row r="318" spans="1:162" x14ac:dyDescent="0.2">
      <c r="A318" s="1" t="s">
        <v>2761</v>
      </c>
      <c r="B318" s="1" t="s">
        <v>55</v>
      </c>
      <c r="C318" s="1" t="s">
        <v>2737</v>
      </c>
      <c r="D318" s="1" t="s">
        <v>4</v>
      </c>
      <c r="E318" s="1">
        <v>33</v>
      </c>
      <c r="F318" s="1" t="s">
        <v>2752</v>
      </c>
      <c r="G318" s="1" t="s">
        <v>2753</v>
      </c>
      <c r="H318" s="1" t="s">
        <v>2762</v>
      </c>
      <c r="I318" s="1" t="s">
        <v>7</v>
      </c>
      <c r="K318" s="1" t="s">
        <v>2755</v>
      </c>
      <c r="L318" s="1" t="s">
        <v>2756</v>
      </c>
      <c r="M318" s="1" t="s">
        <v>2742</v>
      </c>
      <c r="N318" s="1" t="s">
        <v>2763</v>
      </c>
      <c r="O318" s="1">
        <v>1</v>
      </c>
      <c r="Q318" s="1">
        <v>1997</v>
      </c>
      <c r="R318" s="1" t="s">
        <v>2744</v>
      </c>
      <c r="S318" s="1" t="s">
        <v>27</v>
      </c>
      <c r="T318" s="6">
        <v>1</v>
      </c>
      <c r="Y318" s="1">
        <v>20.9</v>
      </c>
      <c r="BG318" s="1">
        <v>31.3</v>
      </c>
    </row>
    <row r="319" spans="1:162" x14ac:dyDescent="0.2">
      <c r="A319" s="1" t="s">
        <v>2764</v>
      </c>
      <c r="B319" s="1" t="s">
        <v>55</v>
      </c>
      <c r="C319" s="1" t="s">
        <v>2737</v>
      </c>
      <c r="D319" s="1" t="s">
        <v>4</v>
      </c>
      <c r="E319" s="1">
        <v>33</v>
      </c>
      <c r="F319" s="1" t="s">
        <v>2738</v>
      </c>
      <c r="G319" s="1" t="s">
        <v>2739</v>
      </c>
      <c r="H319" s="1" t="s">
        <v>2765</v>
      </c>
      <c r="I319" s="1" t="s">
        <v>7</v>
      </c>
      <c r="L319" s="1" t="s">
        <v>2741</v>
      </c>
      <c r="M319" s="1" t="s">
        <v>2742</v>
      </c>
      <c r="N319" s="1" t="s">
        <v>2766</v>
      </c>
      <c r="O319" s="1">
        <v>1</v>
      </c>
      <c r="Q319" s="1">
        <v>1997</v>
      </c>
      <c r="R319" s="1" t="s">
        <v>2744</v>
      </c>
      <c r="S319" s="1" t="s">
        <v>27</v>
      </c>
      <c r="T319" s="6">
        <v>1</v>
      </c>
      <c r="Y319" s="1">
        <v>35</v>
      </c>
      <c r="BG319" s="1">
        <v>121.1</v>
      </c>
    </row>
    <row r="320" spans="1:162" x14ac:dyDescent="0.2">
      <c r="A320" s="1" t="s">
        <v>2767</v>
      </c>
      <c r="B320" s="1" t="s">
        <v>55</v>
      </c>
      <c r="C320" s="1" t="s">
        <v>2737</v>
      </c>
      <c r="D320" s="1" t="s">
        <v>4</v>
      </c>
      <c r="E320" s="1">
        <v>33</v>
      </c>
      <c r="F320" s="1" t="s">
        <v>2738</v>
      </c>
      <c r="G320" s="1" t="s">
        <v>2739</v>
      </c>
      <c r="H320" s="1" t="s">
        <v>2768</v>
      </c>
      <c r="I320" s="1" t="s">
        <v>7</v>
      </c>
      <c r="L320" s="1" t="s">
        <v>2741</v>
      </c>
      <c r="M320" s="1" t="s">
        <v>2742</v>
      </c>
      <c r="N320" s="1" t="s">
        <v>2766</v>
      </c>
      <c r="O320" s="1">
        <v>1</v>
      </c>
      <c r="Q320" s="1">
        <v>1997</v>
      </c>
      <c r="R320" s="1" t="s">
        <v>2744</v>
      </c>
      <c r="S320" s="1" t="s">
        <v>27</v>
      </c>
      <c r="T320" s="6">
        <v>1</v>
      </c>
      <c r="Y320" s="1">
        <v>30.8</v>
      </c>
      <c r="BG320" s="1">
        <v>142.19999999999999</v>
      </c>
    </row>
    <row r="321" spans="1:96" x14ac:dyDescent="0.2">
      <c r="A321" s="1" t="s">
        <v>2769</v>
      </c>
      <c r="B321" s="1" t="s">
        <v>55</v>
      </c>
      <c r="C321" s="1" t="s">
        <v>2737</v>
      </c>
      <c r="D321" s="1" t="s">
        <v>4</v>
      </c>
      <c r="E321" s="1">
        <v>33</v>
      </c>
      <c r="F321" s="1" t="s">
        <v>2738</v>
      </c>
      <c r="G321" s="1" t="s">
        <v>2739</v>
      </c>
      <c r="H321" s="1" t="s">
        <v>2770</v>
      </c>
      <c r="I321" s="1" t="s">
        <v>7</v>
      </c>
      <c r="L321" s="1" t="s">
        <v>2741</v>
      </c>
      <c r="M321" s="1" t="s">
        <v>2742</v>
      </c>
      <c r="N321" s="1" t="s">
        <v>2766</v>
      </c>
      <c r="O321" s="1">
        <v>1</v>
      </c>
      <c r="Q321" s="1">
        <v>1997</v>
      </c>
      <c r="R321" s="1" t="s">
        <v>2744</v>
      </c>
      <c r="S321" s="1" t="s">
        <v>27</v>
      </c>
      <c r="T321" s="6">
        <v>1</v>
      </c>
      <c r="Y321" s="1">
        <v>29.3</v>
      </c>
      <c r="BG321" s="1">
        <v>54.1</v>
      </c>
    </row>
    <row r="322" spans="1:96" x14ac:dyDescent="0.2">
      <c r="A322" s="1" t="s">
        <v>2771</v>
      </c>
      <c r="B322" s="1" t="s">
        <v>55</v>
      </c>
      <c r="C322" s="1" t="s">
        <v>2737</v>
      </c>
      <c r="D322" s="1" t="s">
        <v>4</v>
      </c>
      <c r="E322" s="1">
        <v>33</v>
      </c>
      <c r="F322" s="1" t="s">
        <v>2752</v>
      </c>
      <c r="G322" s="1" t="s">
        <v>2753</v>
      </c>
      <c r="H322" s="1" t="s">
        <v>2772</v>
      </c>
      <c r="I322" s="1" t="s">
        <v>7</v>
      </c>
      <c r="K322" s="1" t="s">
        <v>2755</v>
      </c>
      <c r="L322" s="1" t="s">
        <v>2773</v>
      </c>
      <c r="M322" s="1" t="s">
        <v>2742</v>
      </c>
      <c r="N322" s="1" t="s">
        <v>2766</v>
      </c>
      <c r="O322" s="1">
        <v>1</v>
      </c>
      <c r="Q322" s="1">
        <v>1997</v>
      </c>
      <c r="R322" s="1" t="s">
        <v>2744</v>
      </c>
      <c r="S322" s="1" t="s">
        <v>27</v>
      </c>
      <c r="T322" s="6">
        <v>1</v>
      </c>
      <c r="Y322" s="1">
        <v>28.6</v>
      </c>
      <c r="BG322" s="1">
        <v>28.5</v>
      </c>
    </row>
    <row r="323" spans="1:96" x14ac:dyDescent="0.2">
      <c r="A323" s="1" t="s">
        <v>2774</v>
      </c>
      <c r="B323" s="1" t="s">
        <v>55</v>
      </c>
      <c r="C323" s="1" t="s">
        <v>2737</v>
      </c>
      <c r="D323" s="1" t="s">
        <v>4</v>
      </c>
      <c r="E323" s="1">
        <v>33</v>
      </c>
      <c r="F323" s="1" t="s">
        <v>2752</v>
      </c>
      <c r="G323" s="1" t="s">
        <v>2753</v>
      </c>
      <c r="H323" s="1" t="s">
        <v>2775</v>
      </c>
      <c r="I323" s="1" t="s">
        <v>7</v>
      </c>
      <c r="K323" s="1" t="s">
        <v>2755</v>
      </c>
      <c r="L323" s="1" t="s">
        <v>2773</v>
      </c>
      <c r="M323" s="1" t="s">
        <v>2742</v>
      </c>
      <c r="N323" s="1" t="s">
        <v>2766</v>
      </c>
      <c r="O323" s="1">
        <v>1</v>
      </c>
      <c r="Q323" s="1">
        <v>1997</v>
      </c>
      <c r="R323" s="1" t="s">
        <v>2744</v>
      </c>
      <c r="S323" s="1" t="s">
        <v>27</v>
      </c>
      <c r="T323" s="6">
        <v>1</v>
      </c>
      <c r="Y323" s="1">
        <v>31.8</v>
      </c>
      <c r="BG323" s="1">
        <v>24.2</v>
      </c>
    </row>
    <row r="324" spans="1:96" x14ac:dyDescent="0.2">
      <c r="A324" s="1" t="s">
        <v>2776</v>
      </c>
      <c r="B324" s="1" t="s">
        <v>55</v>
      </c>
      <c r="C324" s="1" t="s">
        <v>2737</v>
      </c>
      <c r="D324" s="1" t="s">
        <v>4</v>
      </c>
      <c r="E324" s="1">
        <v>33</v>
      </c>
      <c r="F324" s="1" t="s">
        <v>2752</v>
      </c>
      <c r="G324" s="1" t="s">
        <v>2753</v>
      </c>
      <c r="H324" s="1" t="s">
        <v>2777</v>
      </c>
      <c r="I324" s="1" t="s">
        <v>7</v>
      </c>
      <c r="K324" s="1" t="s">
        <v>2755</v>
      </c>
      <c r="L324" s="1" t="s">
        <v>2773</v>
      </c>
      <c r="M324" s="1" t="s">
        <v>2742</v>
      </c>
      <c r="N324" s="1" t="s">
        <v>2766</v>
      </c>
      <c r="O324" s="1">
        <v>1</v>
      </c>
      <c r="Q324" s="1">
        <v>1997</v>
      </c>
      <c r="R324" s="1" t="s">
        <v>2744</v>
      </c>
      <c r="S324" s="1" t="s">
        <v>27</v>
      </c>
      <c r="T324" s="6">
        <v>1</v>
      </c>
      <c r="Y324" s="1">
        <v>32.299999999999997</v>
      </c>
      <c r="BG324" s="1">
        <v>35.700000000000003</v>
      </c>
    </row>
    <row r="325" spans="1:96" x14ac:dyDescent="0.2">
      <c r="A325" s="1" t="s">
        <v>2778</v>
      </c>
      <c r="B325" s="1" t="s">
        <v>55</v>
      </c>
      <c r="C325" s="1" t="s">
        <v>2737</v>
      </c>
      <c r="D325" s="1" t="s">
        <v>4</v>
      </c>
      <c r="E325" s="1">
        <v>33</v>
      </c>
      <c r="F325" s="1" t="s">
        <v>2779</v>
      </c>
      <c r="G325" s="1" t="s">
        <v>2780</v>
      </c>
      <c r="H325" s="1" t="s">
        <v>2781</v>
      </c>
      <c r="I325" s="1" t="s">
        <v>7</v>
      </c>
      <c r="K325" s="1" t="s">
        <v>2782</v>
      </c>
      <c r="L325" s="1" t="s">
        <v>2783</v>
      </c>
      <c r="M325" s="1" t="s">
        <v>2742</v>
      </c>
      <c r="N325" s="1" t="s">
        <v>2784</v>
      </c>
      <c r="O325" s="1">
        <v>1</v>
      </c>
      <c r="Q325" s="1">
        <v>1997</v>
      </c>
      <c r="R325" s="1" t="s">
        <v>2744</v>
      </c>
      <c r="S325" s="1" t="s">
        <v>27</v>
      </c>
      <c r="T325" s="6">
        <v>1</v>
      </c>
      <c r="Y325" s="1">
        <v>22.2</v>
      </c>
      <c r="BG325" s="1">
        <v>29.1</v>
      </c>
    </row>
    <row r="326" spans="1:96" x14ac:dyDescent="0.2">
      <c r="A326" s="1" t="s">
        <v>2785</v>
      </c>
      <c r="B326" s="1" t="s">
        <v>55</v>
      </c>
      <c r="C326" s="1" t="s">
        <v>2737</v>
      </c>
      <c r="D326" s="1" t="s">
        <v>4</v>
      </c>
      <c r="E326" s="1">
        <v>11</v>
      </c>
      <c r="F326" s="1" t="s">
        <v>1721</v>
      </c>
      <c r="G326" s="1" t="s">
        <v>2786</v>
      </c>
      <c r="H326" s="1" t="s">
        <v>2787</v>
      </c>
      <c r="I326" s="1" t="s">
        <v>7</v>
      </c>
      <c r="K326" s="1" t="s">
        <v>2788</v>
      </c>
      <c r="L326" s="1" t="s">
        <v>2789</v>
      </c>
      <c r="M326" s="1" t="s">
        <v>2742</v>
      </c>
      <c r="N326" s="1" t="s">
        <v>2790</v>
      </c>
      <c r="O326" s="1">
        <v>1</v>
      </c>
      <c r="Q326" s="1">
        <v>1997</v>
      </c>
      <c r="R326" s="1" t="s">
        <v>2744</v>
      </c>
      <c r="S326" s="1" t="s">
        <v>27</v>
      </c>
      <c r="T326" s="6">
        <v>1</v>
      </c>
      <c r="Y326" s="1">
        <v>19.5</v>
      </c>
      <c r="BG326" s="1">
        <v>22.8</v>
      </c>
    </row>
    <row r="327" spans="1:96" x14ac:dyDescent="0.2">
      <c r="A327" s="1" t="s">
        <v>2791</v>
      </c>
      <c r="B327" s="1" t="s">
        <v>55</v>
      </c>
      <c r="C327" s="1" t="s">
        <v>2737</v>
      </c>
      <c r="D327" s="1" t="s">
        <v>4</v>
      </c>
      <c r="E327" s="1">
        <v>11</v>
      </c>
      <c r="F327" s="1" t="s">
        <v>1721</v>
      </c>
      <c r="G327" s="1" t="s">
        <v>2792</v>
      </c>
      <c r="H327" s="1" t="s">
        <v>2793</v>
      </c>
      <c r="I327" s="1" t="s">
        <v>7</v>
      </c>
      <c r="K327" s="1" t="s">
        <v>2788</v>
      </c>
      <c r="L327" s="1" t="s">
        <v>2789</v>
      </c>
      <c r="M327" s="1" t="s">
        <v>2742</v>
      </c>
      <c r="N327" s="1" t="s">
        <v>2766</v>
      </c>
      <c r="O327" s="1">
        <v>1</v>
      </c>
      <c r="Q327" s="1">
        <v>1997</v>
      </c>
      <c r="R327" s="1" t="s">
        <v>2744</v>
      </c>
      <c r="S327" s="1" t="s">
        <v>27</v>
      </c>
      <c r="T327" s="6">
        <v>1</v>
      </c>
      <c r="BG327" s="1">
        <v>34.700000000000003</v>
      </c>
    </row>
    <row r="328" spans="1:96" x14ac:dyDescent="0.2">
      <c r="A328" s="1" t="s">
        <v>2794</v>
      </c>
      <c r="B328" s="1" t="s">
        <v>55</v>
      </c>
      <c r="C328" s="1" t="s">
        <v>2737</v>
      </c>
      <c r="D328" s="1" t="s">
        <v>4</v>
      </c>
      <c r="E328" s="1">
        <v>11</v>
      </c>
      <c r="F328" s="1" t="s">
        <v>1721</v>
      </c>
      <c r="G328" s="1" t="s">
        <v>2795</v>
      </c>
      <c r="H328" s="1" t="s">
        <v>2796</v>
      </c>
      <c r="I328" s="1" t="s">
        <v>7</v>
      </c>
      <c r="K328" s="1" t="s">
        <v>2788</v>
      </c>
      <c r="L328" s="1" t="s">
        <v>2789</v>
      </c>
      <c r="M328" s="1" t="s">
        <v>2742</v>
      </c>
      <c r="N328" s="1" t="s">
        <v>2766</v>
      </c>
      <c r="O328" s="1">
        <v>1</v>
      </c>
      <c r="Q328" s="1">
        <v>1997</v>
      </c>
      <c r="R328" s="1" t="s">
        <v>2744</v>
      </c>
      <c r="S328" s="1" t="s">
        <v>27</v>
      </c>
      <c r="T328" s="6">
        <v>1</v>
      </c>
      <c r="BG328" s="1">
        <v>36.799999999999997</v>
      </c>
    </row>
    <row r="329" spans="1:96" x14ac:dyDescent="0.2">
      <c r="A329" s="1" t="s">
        <v>2797</v>
      </c>
      <c r="B329" s="1" t="s">
        <v>1912</v>
      </c>
      <c r="C329" s="1" t="s">
        <v>2737</v>
      </c>
      <c r="D329" s="1" t="s">
        <v>4</v>
      </c>
      <c r="E329" s="1">
        <v>40</v>
      </c>
      <c r="F329" s="1" t="s">
        <v>1933</v>
      </c>
      <c r="H329" s="1" t="s">
        <v>2798</v>
      </c>
      <c r="I329" s="1" t="s">
        <v>7</v>
      </c>
      <c r="K329" s="1" t="s">
        <v>1936</v>
      </c>
      <c r="L329" s="1" t="s">
        <v>2799</v>
      </c>
      <c r="M329" s="1" t="s">
        <v>2742</v>
      </c>
      <c r="O329" s="1">
        <v>1</v>
      </c>
      <c r="Q329" s="1">
        <v>1997</v>
      </c>
      <c r="R329" s="1" t="s">
        <v>2744</v>
      </c>
      <c r="S329" s="1" t="s">
        <v>27</v>
      </c>
      <c r="T329" s="6">
        <v>1</v>
      </c>
      <c r="BG329" s="1">
        <v>138</v>
      </c>
    </row>
    <row r="330" spans="1:96" x14ac:dyDescent="0.2">
      <c r="A330" s="1" t="s">
        <v>2800</v>
      </c>
      <c r="B330" s="1" t="s">
        <v>55</v>
      </c>
      <c r="C330" s="1" t="s">
        <v>2737</v>
      </c>
      <c r="D330" s="1" t="s">
        <v>4</v>
      </c>
      <c r="E330" s="1">
        <v>11</v>
      </c>
      <c r="F330" s="1" t="s">
        <v>1721</v>
      </c>
      <c r="G330" s="1" t="s">
        <v>2786</v>
      </c>
      <c r="H330" s="1" t="s">
        <v>2801</v>
      </c>
      <c r="I330" s="1" t="s">
        <v>7</v>
      </c>
      <c r="K330" s="1" t="s">
        <v>2788</v>
      </c>
      <c r="L330" s="1" t="s">
        <v>2789</v>
      </c>
      <c r="M330" s="1" t="s">
        <v>2742</v>
      </c>
      <c r="N330" s="1" t="s">
        <v>2802</v>
      </c>
      <c r="O330" s="1">
        <v>6</v>
      </c>
      <c r="Q330" s="1">
        <v>1997</v>
      </c>
      <c r="R330" s="1" t="s">
        <v>2744</v>
      </c>
      <c r="S330" s="1" t="s">
        <v>27</v>
      </c>
      <c r="T330" s="6">
        <v>1</v>
      </c>
      <c r="Y330" s="1">
        <v>19.2</v>
      </c>
      <c r="BG330" s="1">
        <v>35</v>
      </c>
    </row>
    <row r="331" spans="1:96" x14ac:dyDescent="0.2">
      <c r="A331" s="1" t="s">
        <v>2803</v>
      </c>
      <c r="B331" s="1" t="s">
        <v>55</v>
      </c>
      <c r="C331" s="1" t="s">
        <v>2804</v>
      </c>
      <c r="D331" s="1" t="s">
        <v>4</v>
      </c>
      <c r="E331" s="1">
        <v>11</v>
      </c>
      <c r="F331" s="1" t="s">
        <v>2805</v>
      </c>
      <c r="H331" s="1" t="s">
        <v>2806</v>
      </c>
      <c r="I331" s="1" t="s">
        <v>7</v>
      </c>
      <c r="K331" s="1" t="s">
        <v>2807</v>
      </c>
      <c r="L331" s="1" t="s">
        <v>2808</v>
      </c>
      <c r="M331" s="1" t="s">
        <v>2809</v>
      </c>
      <c r="N331" s="1" t="s">
        <v>2810</v>
      </c>
      <c r="O331" s="1">
        <v>1</v>
      </c>
      <c r="Q331" s="1">
        <v>1997</v>
      </c>
      <c r="R331" s="1" t="s">
        <v>2744</v>
      </c>
      <c r="S331" s="1" t="s">
        <v>27</v>
      </c>
      <c r="T331" s="6">
        <v>1</v>
      </c>
      <c r="Y331" s="1">
        <v>18.7</v>
      </c>
      <c r="BG331" s="1">
        <v>3.1</v>
      </c>
    </row>
    <row r="332" spans="1:96" x14ac:dyDescent="0.2">
      <c r="A332" s="1" t="s">
        <v>2811</v>
      </c>
      <c r="B332" s="1" t="s">
        <v>55</v>
      </c>
      <c r="C332" s="1" t="s">
        <v>2812</v>
      </c>
      <c r="D332" s="1" t="s">
        <v>2</v>
      </c>
      <c r="E332" s="1">
        <v>23</v>
      </c>
      <c r="F332" s="1" t="s">
        <v>1472</v>
      </c>
      <c r="H332" s="1" t="s">
        <v>2813</v>
      </c>
      <c r="I332" s="1" t="s">
        <v>7</v>
      </c>
      <c r="J332" s="1" t="s">
        <v>1474</v>
      </c>
      <c r="K332" s="1" t="s">
        <v>1475</v>
      </c>
      <c r="L332" s="1" t="s">
        <v>1474</v>
      </c>
      <c r="O332" s="1">
        <v>1</v>
      </c>
      <c r="Q332" s="1">
        <v>1999</v>
      </c>
      <c r="R332" s="1" t="s">
        <v>2814</v>
      </c>
      <c r="S332" s="1" t="s">
        <v>27</v>
      </c>
      <c r="T332" s="6">
        <v>1</v>
      </c>
      <c r="Y332" s="1">
        <v>27.8</v>
      </c>
      <c r="AH332" s="1">
        <v>7.8</v>
      </c>
      <c r="CR332" s="1">
        <v>7.5</v>
      </c>
    </row>
    <row r="333" spans="1:96" x14ac:dyDescent="0.2">
      <c r="A333" s="1" t="s">
        <v>2815</v>
      </c>
      <c r="B333" s="1" t="s">
        <v>55</v>
      </c>
      <c r="C333" s="1" t="s">
        <v>2812</v>
      </c>
      <c r="D333" s="1" t="s">
        <v>2</v>
      </c>
      <c r="E333" s="1">
        <v>23</v>
      </c>
      <c r="F333" s="1" t="s">
        <v>1472</v>
      </c>
      <c r="H333" s="1" t="s">
        <v>2816</v>
      </c>
      <c r="I333" s="1" t="s">
        <v>7</v>
      </c>
      <c r="J333" s="1" t="s">
        <v>1474</v>
      </c>
      <c r="K333" s="1" t="s">
        <v>1475</v>
      </c>
      <c r="L333" s="1" t="s">
        <v>1474</v>
      </c>
      <c r="O333" s="1">
        <v>1</v>
      </c>
      <c r="Q333" s="1">
        <v>1999</v>
      </c>
      <c r="R333" s="1" t="s">
        <v>2814</v>
      </c>
      <c r="S333" s="1" t="s">
        <v>27</v>
      </c>
      <c r="T333" s="6">
        <v>1</v>
      </c>
      <c r="Y333" s="1">
        <v>32.5</v>
      </c>
      <c r="AH333" s="1">
        <v>13.8</v>
      </c>
      <c r="CR333" s="1">
        <v>7.2</v>
      </c>
    </row>
    <row r="334" spans="1:96" x14ac:dyDescent="0.2">
      <c r="A334" s="1" t="s">
        <v>2817</v>
      </c>
      <c r="B334" s="1" t="s">
        <v>55</v>
      </c>
      <c r="C334" s="1" t="s">
        <v>2812</v>
      </c>
      <c r="D334" s="1" t="s">
        <v>2</v>
      </c>
      <c r="E334" s="1">
        <v>23</v>
      </c>
      <c r="F334" s="1" t="s">
        <v>1472</v>
      </c>
      <c r="H334" s="1" t="s">
        <v>2816</v>
      </c>
      <c r="I334" s="1" t="s">
        <v>7</v>
      </c>
      <c r="J334" s="1" t="s">
        <v>1474</v>
      </c>
      <c r="K334" s="1" t="s">
        <v>1475</v>
      </c>
      <c r="L334" s="1" t="s">
        <v>1474</v>
      </c>
      <c r="O334" s="1">
        <v>1</v>
      </c>
      <c r="Q334" s="1">
        <v>1999</v>
      </c>
      <c r="R334" s="1" t="s">
        <v>2814</v>
      </c>
      <c r="S334" s="1" t="s">
        <v>27</v>
      </c>
      <c r="T334" s="6">
        <v>1</v>
      </c>
      <c r="Y334" s="1">
        <v>32.200000000000003</v>
      </c>
      <c r="AH334" s="1">
        <v>11.2</v>
      </c>
      <c r="CR334" s="1">
        <v>15.3</v>
      </c>
    </row>
    <row r="335" spans="1:96" x14ac:dyDescent="0.2">
      <c r="A335" s="1" t="s">
        <v>2818</v>
      </c>
      <c r="B335" s="1" t="s">
        <v>55</v>
      </c>
      <c r="C335" s="1" t="s">
        <v>2812</v>
      </c>
      <c r="D335" s="1" t="s">
        <v>2</v>
      </c>
      <c r="E335" s="1">
        <v>23</v>
      </c>
      <c r="F335" s="1" t="s">
        <v>1472</v>
      </c>
      <c r="H335" s="1" t="s">
        <v>2816</v>
      </c>
      <c r="I335" s="1" t="s">
        <v>7</v>
      </c>
      <c r="J335" s="1" t="s">
        <v>1474</v>
      </c>
      <c r="K335" s="1" t="s">
        <v>1475</v>
      </c>
      <c r="L335" s="1" t="s">
        <v>1474</v>
      </c>
      <c r="O335" s="1">
        <v>1</v>
      </c>
      <c r="Q335" s="1">
        <v>1999</v>
      </c>
      <c r="R335" s="1" t="s">
        <v>2814</v>
      </c>
      <c r="S335" s="1" t="s">
        <v>27</v>
      </c>
      <c r="T335" s="6">
        <v>1</v>
      </c>
      <c r="Y335" s="1">
        <v>29.7</v>
      </c>
      <c r="AH335" s="1">
        <v>9.6</v>
      </c>
      <c r="CR335" s="1">
        <v>7.9</v>
      </c>
    </row>
    <row r="336" spans="1:96" x14ac:dyDescent="0.2">
      <c r="A336" s="1" t="s">
        <v>2819</v>
      </c>
      <c r="B336" s="1" t="s">
        <v>55</v>
      </c>
      <c r="C336" s="1" t="s">
        <v>2812</v>
      </c>
      <c r="D336" s="1" t="s">
        <v>2</v>
      </c>
      <c r="E336" s="1">
        <v>23</v>
      </c>
      <c r="F336" s="1" t="s">
        <v>1472</v>
      </c>
      <c r="H336" s="1" t="s">
        <v>2820</v>
      </c>
      <c r="I336" s="1" t="s">
        <v>11</v>
      </c>
      <c r="J336" s="1" t="s">
        <v>1474</v>
      </c>
      <c r="K336" s="1" t="s">
        <v>1475</v>
      </c>
      <c r="L336" s="1" t="s">
        <v>1474</v>
      </c>
      <c r="O336" s="1">
        <v>1</v>
      </c>
      <c r="Q336" s="1">
        <v>1999</v>
      </c>
      <c r="R336" s="1" t="s">
        <v>2814</v>
      </c>
      <c r="S336" s="1" t="s">
        <v>27</v>
      </c>
      <c r="T336" s="6">
        <v>1</v>
      </c>
      <c r="Y336" s="1">
        <v>35</v>
      </c>
      <c r="AH336" s="1">
        <v>11.5</v>
      </c>
      <c r="CR336" s="1">
        <v>8.6999999999999993</v>
      </c>
    </row>
    <row r="337" spans="1:155" x14ac:dyDescent="0.2">
      <c r="A337" s="1" t="s">
        <v>2821</v>
      </c>
      <c r="B337" s="1" t="s">
        <v>55</v>
      </c>
      <c r="C337" s="1" t="s">
        <v>2812</v>
      </c>
      <c r="D337" s="1" t="s">
        <v>2</v>
      </c>
      <c r="E337" s="1">
        <v>23</v>
      </c>
      <c r="F337" s="1" t="s">
        <v>1472</v>
      </c>
      <c r="H337" s="1" t="s">
        <v>2820</v>
      </c>
      <c r="I337" s="1" t="s">
        <v>11</v>
      </c>
      <c r="J337" s="1" t="s">
        <v>1474</v>
      </c>
      <c r="K337" s="1" t="s">
        <v>1475</v>
      </c>
      <c r="L337" s="1" t="s">
        <v>1474</v>
      </c>
      <c r="O337" s="1">
        <v>1</v>
      </c>
      <c r="Q337" s="1">
        <v>1999</v>
      </c>
      <c r="R337" s="1" t="s">
        <v>2814</v>
      </c>
      <c r="S337" s="1" t="s">
        <v>27</v>
      </c>
      <c r="T337" s="6">
        <v>1</v>
      </c>
      <c r="Y337" s="1">
        <v>37.1</v>
      </c>
      <c r="AH337" s="1">
        <v>12.9</v>
      </c>
      <c r="CR337" s="1">
        <v>7.7</v>
      </c>
    </row>
    <row r="338" spans="1:155" x14ac:dyDescent="0.2">
      <c r="A338" s="1" t="s">
        <v>2822</v>
      </c>
      <c r="B338" s="1" t="s">
        <v>55</v>
      </c>
      <c r="C338" s="1" t="s">
        <v>2812</v>
      </c>
      <c r="D338" s="1" t="s">
        <v>2</v>
      </c>
      <c r="E338" s="1">
        <v>23</v>
      </c>
      <c r="F338" s="1" t="s">
        <v>1472</v>
      </c>
      <c r="H338" s="1" t="s">
        <v>2820</v>
      </c>
      <c r="I338" s="1" t="s">
        <v>11</v>
      </c>
      <c r="J338" s="1" t="s">
        <v>1474</v>
      </c>
      <c r="K338" s="1" t="s">
        <v>1475</v>
      </c>
      <c r="L338" s="1" t="s">
        <v>1474</v>
      </c>
      <c r="O338" s="1">
        <v>1</v>
      </c>
      <c r="Q338" s="1">
        <v>1999</v>
      </c>
      <c r="R338" s="1" t="s">
        <v>2814</v>
      </c>
      <c r="S338" s="1" t="s">
        <v>27</v>
      </c>
      <c r="T338" s="6">
        <v>1</v>
      </c>
      <c r="Y338" s="1">
        <v>33</v>
      </c>
      <c r="AH338" s="1">
        <v>9.3000000000000007</v>
      </c>
      <c r="CR338" s="1">
        <v>15.3</v>
      </c>
    </row>
    <row r="339" spans="1:155" x14ac:dyDescent="0.2">
      <c r="A339" s="1" t="s">
        <v>2823</v>
      </c>
      <c r="B339" s="1" t="s">
        <v>55</v>
      </c>
      <c r="C339" s="1" t="s">
        <v>2812</v>
      </c>
      <c r="D339" s="1" t="s">
        <v>2</v>
      </c>
      <c r="E339" s="1">
        <v>23</v>
      </c>
      <c r="F339" s="1" t="s">
        <v>1472</v>
      </c>
      <c r="H339" s="1" t="s">
        <v>2820</v>
      </c>
      <c r="I339" s="1" t="s">
        <v>11</v>
      </c>
      <c r="J339" s="1" t="s">
        <v>1474</v>
      </c>
      <c r="K339" s="1" t="s">
        <v>1475</v>
      </c>
      <c r="L339" s="1" t="s">
        <v>1474</v>
      </c>
      <c r="O339" s="1">
        <v>1</v>
      </c>
      <c r="Q339" s="1">
        <v>1999</v>
      </c>
      <c r="R339" s="1" t="s">
        <v>2814</v>
      </c>
      <c r="S339" s="1" t="s">
        <v>27</v>
      </c>
      <c r="T339" s="6">
        <v>1</v>
      </c>
      <c r="Y339" s="1">
        <v>33.299999999999997</v>
      </c>
      <c r="AH339" s="1">
        <v>8</v>
      </c>
      <c r="CR339" s="1">
        <v>7.4</v>
      </c>
    </row>
    <row r="340" spans="1:155" x14ac:dyDescent="0.2">
      <c r="A340" s="1" t="s">
        <v>2824</v>
      </c>
      <c r="B340" s="1" t="s">
        <v>55</v>
      </c>
      <c r="C340" s="1" t="s">
        <v>2825</v>
      </c>
      <c r="D340" s="1" t="s">
        <v>2</v>
      </c>
      <c r="E340" s="1">
        <v>13</v>
      </c>
      <c r="F340" s="1" t="s">
        <v>1360</v>
      </c>
      <c r="H340" s="1" t="s">
        <v>2826</v>
      </c>
      <c r="I340" s="1" t="s">
        <v>7</v>
      </c>
      <c r="J340" s="1" t="s">
        <v>1362</v>
      </c>
      <c r="K340" s="1" t="s">
        <v>1363</v>
      </c>
      <c r="L340" s="1" t="s">
        <v>1362</v>
      </c>
      <c r="M340" s="1" t="s">
        <v>2827</v>
      </c>
      <c r="O340" s="1">
        <v>3</v>
      </c>
      <c r="P340" s="1" t="s">
        <v>2828</v>
      </c>
      <c r="Q340" s="1">
        <v>1992</v>
      </c>
      <c r="R340" s="1" t="s">
        <v>2829</v>
      </c>
      <c r="S340" s="1" t="s">
        <v>27</v>
      </c>
      <c r="T340" s="6">
        <v>1</v>
      </c>
      <c r="W340" s="1">
        <v>168</v>
      </c>
      <c r="Z340" s="1">
        <v>72.8</v>
      </c>
      <c r="AC340" s="1">
        <v>15.4</v>
      </c>
      <c r="AJ340" s="1">
        <v>11.3</v>
      </c>
      <c r="AQ340" s="1">
        <v>0.5</v>
      </c>
      <c r="AV340" s="1">
        <v>0.9</v>
      </c>
      <c r="CM340" s="1" t="s">
        <v>15</v>
      </c>
      <c r="CZ340" s="1">
        <v>0.38</v>
      </c>
      <c r="DB340" s="1">
        <v>7.0000000000000007E-2</v>
      </c>
      <c r="DC340" s="1">
        <v>2.2400000000000002</v>
      </c>
      <c r="DE340" s="1">
        <v>0.64</v>
      </c>
      <c r="DJ340" s="1">
        <v>0.19</v>
      </c>
      <c r="DK340" s="1">
        <v>10</v>
      </c>
      <c r="DM340" s="1">
        <v>2.5</v>
      </c>
      <c r="DN340" s="1">
        <v>0.6</v>
      </c>
      <c r="EY340" s="1">
        <v>61</v>
      </c>
    </row>
    <row r="341" spans="1:155" x14ac:dyDescent="0.2">
      <c r="A341" s="1" t="s">
        <v>2830</v>
      </c>
      <c r="B341" s="1" t="s">
        <v>55</v>
      </c>
      <c r="C341" s="1" t="s">
        <v>2825</v>
      </c>
      <c r="D341" s="1" t="s">
        <v>2</v>
      </c>
      <c r="E341" s="1">
        <v>13</v>
      </c>
      <c r="F341" s="1" t="s">
        <v>1360</v>
      </c>
      <c r="H341" s="1" t="s">
        <v>2831</v>
      </c>
      <c r="I341" s="1" t="s">
        <v>11</v>
      </c>
      <c r="J341" s="1" t="s">
        <v>1362</v>
      </c>
      <c r="K341" s="1" t="s">
        <v>1363</v>
      </c>
      <c r="L341" s="1" t="s">
        <v>1362</v>
      </c>
      <c r="M341" s="1" t="s">
        <v>2827</v>
      </c>
      <c r="O341" s="1">
        <v>3</v>
      </c>
      <c r="P341" s="1" t="s">
        <v>2828</v>
      </c>
      <c r="Q341" s="1">
        <v>1992</v>
      </c>
      <c r="R341" s="1" t="s">
        <v>2829</v>
      </c>
      <c r="S341" s="1" t="s">
        <v>27</v>
      </c>
      <c r="T341" s="6">
        <v>1</v>
      </c>
      <c r="W341" s="1">
        <v>162</v>
      </c>
      <c r="Z341" s="1">
        <v>72.099999999999994</v>
      </c>
      <c r="AC341" s="1">
        <v>17</v>
      </c>
      <c r="AJ341" s="1">
        <v>10</v>
      </c>
      <c r="AQ341" s="1" t="s">
        <v>15</v>
      </c>
      <c r="AV341" s="1">
        <v>1</v>
      </c>
      <c r="CM341" s="1" t="s">
        <v>15</v>
      </c>
      <c r="CZ341" s="1">
        <v>0.42</v>
      </c>
      <c r="DB341" s="1">
        <v>7.0000000000000007E-2</v>
      </c>
      <c r="DC341" s="1">
        <v>2.5099999999999998</v>
      </c>
      <c r="DE341" s="1">
        <v>0.62</v>
      </c>
      <c r="DJ341" s="1">
        <v>0.16</v>
      </c>
      <c r="DK341" s="1">
        <v>10</v>
      </c>
      <c r="DM341" s="1">
        <v>2.8</v>
      </c>
      <c r="DN341" s="1">
        <v>0.6</v>
      </c>
      <c r="EY341" s="1">
        <v>64</v>
      </c>
    </row>
    <row r="342" spans="1:155" x14ac:dyDescent="0.2">
      <c r="A342" s="1" t="s">
        <v>2832</v>
      </c>
      <c r="B342" s="1" t="s">
        <v>55</v>
      </c>
      <c r="C342" s="1" t="s">
        <v>2833</v>
      </c>
      <c r="D342" s="1" t="s">
        <v>2</v>
      </c>
      <c r="E342" s="1">
        <v>23</v>
      </c>
      <c r="F342" s="1" t="s">
        <v>2834</v>
      </c>
      <c r="H342" s="1" t="s">
        <v>2835</v>
      </c>
      <c r="I342" s="1" t="s">
        <v>7</v>
      </c>
      <c r="J342" s="1" t="s">
        <v>2836</v>
      </c>
      <c r="K342" s="1" t="s">
        <v>2837</v>
      </c>
      <c r="L342" s="1" t="s">
        <v>2836</v>
      </c>
      <c r="M342" s="1" t="s">
        <v>2838</v>
      </c>
      <c r="O342" s="1">
        <v>1</v>
      </c>
      <c r="P342" s="1" t="s">
        <v>2828</v>
      </c>
      <c r="Q342" s="1">
        <v>1992</v>
      </c>
      <c r="R342" s="1" t="s">
        <v>2829</v>
      </c>
      <c r="S342" s="1" t="s">
        <v>27</v>
      </c>
      <c r="T342" s="6">
        <v>1</v>
      </c>
      <c r="W342" s="1">
        <v>159</v>
      </c>
      <c r="Z342" s="1">
        <v>68.599999999999994</v>
      </c>
      <c r="AC342" s="1">
        <v>23</v>
      </c>
      <c r="AJ342" s="1">
        <v>7.8</v>
      </c>
      <c r="AQ342" s="1" t="s">
        <v>15</v>
      </c>
      <c r="AV342" s="1">
        <v>1.4</v>
      </c>
      <c r="CM342" s="1" t="s">
        <v>15</v>
      </c>
      <c r="CZ342" s="1">
        <v>0.1</v>
      </c>
      <c r="DB342" s="1">
        <v>0.09</v>
      </c>
      <c r="DC342" s="1">
        <v>7.84</v>
      </c>
      <c r="DE342" s="1">
        <v>1.32</v>
      </c>
      <c r="DJ342" s="1">
        <v>0.78</v>
      </c>
      <c r="DK342" s="1">
        <v>10</v>
      </c>
      <c r="DM342" s="1">
        <v>2.4</v>
      </c>
      <c r="DN342" s="1">
        <v>1.8</v>
      </c>
      <c r="EY342" s="1">
        <v>50</v>
      </c>
    </row>
    <row r="343" spans="1:155" x14ac:dyDescent="0.2">
      <c r="A343" s="1" t="s">
        <v>2839</v>
      </c>
      <c r="B343" s="1" t="s">
        <v>55</v>
      </c>
      <c r="C343" s="1" t="s">
        <v>2833</v>
      </c>
      <c r="D343" s="1" t="s">
        <v>2</v>
      </c>
      <c r="E343" s="1">
        <v>23</v>
      </c>
      <c r="F343" s="1" t="s">
        <v>2834</v>
      </c>
      <c r="H343" s="1" t="s">
        <v>2835</v>
      </c>
      <c r="I343" s="1" t="s">
        <v>7</v>
      </c>
      <c r="J343" s="1" t="s">
        <v>2836</v>
      </c>
      <c r="K343" s="1" t="s">
        <v>2837</v>
      </c>
      <c r="L343" s="1" t="s">
        <v>2836</v>
      </c>
      <c r="M343" s="1" t="s">
        <v>2702</v>
      </c>
      <c r="O343" s="1">
        <v>1</v>
      </c>
      <c r="P343" s="1" t="s">
        <v>2828</v>
      </c>
      <c r="Q343" s="1">
        <v>1992</v>
      </c>
      <c r="R343" s="1" t="s">
        <v>2829</v>
      </c>
      <c r="S343" s="1" t="s">
        <v>27</v>
      </c>
      <c r="T343" s="6">
        <v>1</v>
      </c>
      <c r="W343" s="1">
        <v>167</v>
      </c>
      <c r="Z343" s="1">
        <v>70.099999999999994</v>
      </c>
      <c r="AC343" s="1">
        <v>20.6</v>
      </c>
      <c r="AJ343" s="1">
        <v>8.8000000000000007</v>
      </c>
      <c r="AQ343" s="1" t="s">
        <v>15</v>
      </c>
      <c r="AV343" s="1">
        <v>1.2</v>
      </c>
      <c r="CM343" s="1" t="s">
        <v>15</v>
      </c>
      <c r="CZ343" s="1">
        <v>0.08</v>
      </c>
      <c r="DB343" s="1">
        <v>0.15</v>
      </c>
      <c r="DC343" s="1">
        <v>5.46</v>
      </c>
      <c r="DE343" s="1">
        <v>1.07</v>
      </c>
      <c r="DJ343" s="1">
        <v>0.57999999999999996</v>
      </c>
      <c r="DK343" s="1">
        <v>10</v>
      </c>
      <c r="DM343" s="1">
        <v>3.3</v>
      </c>
      <c r="DN343" s="1" t="s">
        <v>15</v>
      </c>
      <c r="EY343" s="1">
        <v>52</v>
      </c>
    </row>
    <row r="344" spans="1:155" x14ac:dyDescent="0.2">
      <c r="A344" s="1" t="s">
        <v>2840</v>
      </c>
      <c r="B344" s="1" t="s">
        <v>55</v>
      </c>
      <c r="C344" s="1" t="s">
        <v>2833</v>
      </c>
      <c r="D344" s="1" t="s">
        <v>2</v>
      </c>
      <c r="E344" s="1">
        <v>23</v>
      </c>
      <c r="F344" s="1" t="s">
        <v>2834</v>
      </c>
      <c r="H344" s="1" t="s">
        <v>2841</v>
      </c>
      <c r="I344" s="1" t="s">
        <v>11</v>
      </c>
      <c r="J344" s="1" t="s">
        <v>2836</v>
      </c>
      <c r="K344" s="1" t="s">
        <v>2837</v>
      </c>
      <c r="L344" s="1" t="s">
        <v>2836</v>
      </c>
      <c r="M344" s="1" t="s">
        <v>2838</v>
      </c>
      <c r="O344" s="1">
        <v>1</v>
      </c>
      <c r="P344" s="1" t="s">
        <v>2828</v>
      </c>
      <c r="Q344" s="1">
        <v>1992</v>
      </c>
      <c r="R344" s="1" t="s">
        <v>2829</v>
      </c>
      <c r="S344" s="1" t="s">
        <v>27</v>
      </c>
      <c r="T344" s="6">
        <v>1</v>
      </c>
      <c r="W344" s="1">
        <v>174</v>
      </c>
      <c r="Z344" s="1">
        <v>65.5</v>
      </c>
      <c r="AC344" s="1">
        <v>25.4</v>
      </c>
      <c r="AJ344" s="1">
        <v>8.4</v>
      </c>
      <c r="AQ344" s="1" t="s">
        <v>15</v>
      </c>
      <c r="AV344" s="1">
        <v>1.4</v>
      </c>
      <c r="CM344" s="1" t="s">
        <v>15</v>
      </c>
      <c r="CZ344" s="1">
        <v>0.1</v>
      </c>
      <c r="DB344" s="1">
        <v>0.1</v>
      </c>
      <c r="DC344" s="1">
        <v>8.3000000000000007</v>
      </c>
      <c r="DE344" s="1">
        <v>1.34</v>
      </c>
      <c r="DJ344" s="1">
        <v>0.75</v>
      </c>
      <c r="DK344" s="1">
        <v>20</v>
      </c>
      <c r="DM344" s="1">
        <v>3.2</v>
      </c>
      <c r="DN344" s="1">
        <v>2</v>
      </c>
      <c r="EY344" s="1">
        <v>55</v>
      </c>
    </row>
    <row r="345" spans="1:155" x14ac:dyDescent="0.2">
      <c r="A345" s="1" t="s">
        <v>2842</v>
      </c>
      <c r="B345" s="1" t="s">
        <v>55</v>
      </c>
      <c r="C345" s="1" t="s">
        <v>2833</v>
      </c>
      <c r="D345" s="1" t="s">
        <v>2</v>
      </c>
      <c r="E345" s="1">
        <v>23</v>
      </c>
      <c r="F345" s="1" t="s">
        <v>2834</v>
      </c>
      <c r="H345" s="1" t="s">
        <v>2841</v>
      </c>
      <c r="I345" s="1" t="s">
        <v>11</v>
      </c>
      <c r="J345" s="1" t="s">
        <v>2836</v>
      </c>
      <c r="K345" s="1" t="s">
        <v>2837</v>
      </c>
      <c r="L345" s="1" t="s">
        <v>2836</v>
      </c>
      <c r="M345" s="1" t="s">
        <v>2702</v>
      </c>
      <c r="O345" s="1">
        <v>1</v>
      </c>
      <c r="P345" s="1" t="s">
        <v>2828</v>
      </c>
      <c r="Q345" s="1">
        <v>1992</v>
      </c>
      <c r="R345" s="1" t="s">
        <v>2829</v>
      </c>
      <c r="S345" s="1" t="s">
        <v>27</v>
      </c>
      <c r="T345" s="6">
        <v>1</v>
      </c>
      <c r="W345" s="1">
        <v>192</v>
      </c>
      <c r="Z345" s="1">
        <v>65.8</v>
      </c>
      <c r="AC345" s="1">
        <v>24.4</v>
      </c>
      <c r="AJ345" s="1">
        <v>9.6999999999999993</v>
      </c>
      <c r="AQ345" s="1" t="s">
        <v>15</v>
      </c>
      <c r="AV345" s="1">
        <v>1.4</v>
      </c>
      <c r="CM345" s="1" t="s">
        <v>15</v>
      </c>
      <c r="CZ345" s="1">
        <v>0.1</v>
      </c>
      <c r="DB345" s="1">
        <v>0.14000000000000001</v>
      </c>
      <c r="DC345" s="1">
        <v>6.56</v>
      </c>
      <c r="DE345" s="1">
        <v>1.32</v>
      </c>
      <c r="DJ345" s="1">
        <v>0.4</v>
      </c>
      <c r="DK345" s="1">
        <v>10</v>
      </c>
      <c r="DM345" s="1">
        <v>3.7</v>
      </c>
      <c r="DN345" s="1" t="s">
        <v>15</v>
      </c>
      <c r="EY345" s="1">
        <v>69</v>
      </c>
    </row>
    <row r="346" spans="1:155" x14ac:dyDescent="0.2">
      <c r="A346" s="1" t="s">
        <v>2843</v>
      </c>
      <c r="B346" s="1" t="s">
        <v>55</v>
      </c>
      <c r="C346" s="1" t="s">
        <v>2844</v>
      </c>
      <c r="D346" s="1" t="s">
        <v>2</v>
      </c>
      <c r="E346" s="1">
        <v>23</v>
      </c>
      <c r="F346" s="1" t="s">
        <v>1472</v>
      </c>
      <c r="H346" s="1" t="s">
        <v>2813</v>
      </c>
      <c r="I346" s="1" t="s">
        <v>7</v>
      </c>
      <c r="J346" s="1" t="s">
        <v>2845</v>
      </c>
      <c r="K346" s="1" t="s">
        <v>1475</v>
      </c>
      <c r="L346" s="1" t="s">
        <v>1474</v>
      </c>
      <c r="M346" s="1" t="s">
        <v>2846</v>
      </c>
      <c r="O346" s="1">
        <v>3</v>
      </c>
      <c r="P346" s="1" t="s">
        <v>2828</v>
      </c>
      <c r="Q346" s="1">
        <v>1992</v>
      </c>
      <c r="R346" s="1" t="s">
        <v>2829</v>
      </c>
      <c r="S346" s="1" t="s">
        <v>27</v>
      </c>
      <c r="T346" s="6">
        <v>1</v>
      </c>
      <c r="W346" s="1">
        <v>136</v>
      </c>
      <c r="Z346" s="1">
        <v>72.8</v>
      </c>
      <c r="AC346" s="1">
        <v>20.9</v>
      </c>
      <c r="AJ346" s="1">
        <v>5.4</v>
      </c>
      <c r="AQ346" s="1" t="s">
        <v>15</v>
      </c>
      <c r="AV346" s="1">
        <v>1.4</v>
      </c>
      <c r="CM346" s="1" t="s">
        <v>15</v>
      </c>
      <c r="CZ346" s="1">
        <v>0.2</v>
      </c>
      <c r="DB346" s="1">
        <v>7.0000000000000007E-2</v>
      </c>
      <c r="DC346" s="1">
        <v>8.2200000000000006</v>
      </c>
      <c r="DE346" s="1">
        <v>1.44</v>
      </c>
      <c r="DJ346" s="1">
        <v>0.62</v>
      </c>
      <c r="DK346" s="1">
        <v>10</v>
      </c>
      <c r="DM346" s="1">
        <v>3.8</v>
      </c>
      <c r="DN346" s="1">
        <v>2.9</v>
      </c>
      <c r="EY346" s="1">
        <v>59</v>
      </c>
    </row>
    <row r="347" spans="1:155" x14ac:dyDescent="0.2">
      <c r="A347" s="1" t="s">
        <v>2847</v>
      </c>
      <c r="B347" s="1" t="s">
        <v>55</v>
      </c>
      <c r="C347" s="1" t="s">
        <v>2844</v>
      </c>
      <c r="D347" s="1" t="s">
        <v>2</v>
      </c>
      <c r="E347" s="1">
        <v>23</v>
      </c>
      <c r="F347" s="1" t="s">
        <v>1472</v>
      </c>
      <c r="H347" s="1" t="s">
        <v>2848</v>
      </c>
      <c r="I347" s="1" t="s">
        <v>11</v>
      </c>
      <c r="J347" s="1" t="s">
        <v>2845</v>
      </c>
      <c r="K347" s="1" t="s">
        <v>1475</v>
      </c>
      <c r="L347" s="1" t="s">
        <v>1474</v>
      </c>
      <c r="M347" s="1" t="s">
        <v>2846</v>
      </c>
      <c r="O347" s="1">
        <v>3</v>
      </c>
      <c r="P347" s="1" t="s">
        <v>2828</v>
      </c>
      <c r="Q347" s="1">
        <v>1992</v>
      </c>
      <c r="R347" s="1" t="s">
        <v>2829</v>
      </c>
      <c r="S347" s="1" t="s">
        <v>27</v>
      </c>
      <c r="T347" s="6">
        <v>1</v>
      </c>
      <c r="W347" s="1">
        <v>168</v>
      </c>
      <c r="Z347" s="1">
        <v>67.5</v>
      </c>
      <c r="AC347" s="1">
        <v>24.3</v>
      </c>
      <c r="AJ347" s="1">
        <v>7.2</v>
      </c>
      <c r="AQ347" s="1" t="s">
        <v>15</v>
      </c>
      <c r="AV347" s="1">
        <v>1.6</v>
      </c>
      <c r="CM347" s="1" t="s">
        <v>15</v>
      </c>
      <c r="CZ347" s="1">
        <v>0.23</v>
      </c>
      <c r="DB347" s="1">
        <v>0.08</v>
      </c>
      <c r="DC347" s="1">
        <v>8.7899999999999991</v>
      </c>
      <c r="DE347" s="1">
        <v>1.31</v>
      </c>
      <c r="DJ347" s="1">
        <v>0.4</v>
      </c>
      <c r="DK347" s="1">
        <v>20</v>
      </c>
      <c r="DM347" s="1">
        <v>5</v>
      </c>
      <c r="DN347" s="1">
        <v>3.3</v>
      </c>
      <c r="EY347" s="1">
        <v>68</v>
      </c>
    </row>
    <row r="348" spans="1:155" x14ac:dyDescent="0.2">
      <c r="A348" s="1" t="s">
        <v>2849</v>
      </c>
      <c r="B348" s="1" t="s">
        <v>1912</v>
      </c>
      <c r="C348" s="1" t="s">
        <v>2850</v>
      </c>
      <c r="D348" s="1" t="s">
        <v>2</v>
      </c>
      <c r="E348" s="1">
        <v>41</v>
      </c>
      <c r="F348" s="1" t="s">
        <v>2851</v>
      </c>
      <c r="H348" s="1" t="s">
        <v>2852</v>
      </c>
      <c r="I348" s="1" t="s">
        <v>7</v>
      </c>
      <c r="J348" s="1" t="s">
        <v>2853</v>
      </c>
      <c r="K348" s="1" t="s">
        <v>2854</v>
      </c>
      <c r="L348" s="1" t="s">
        <v>2853</v>
      </c>
      <c r="M348" s="1" t="s">
        <v>2855</v>
      </c>
      <c r="O348" s="1">
        <v>2</v>
      </c>
      <c r="P348" s="1" t="s">
        <v>2856</v>
      </c>
      <c r="Q348" s="1">
        <v>1992</v>
      </c>
      <c r="R348" s="1" t="s">
        <v>2829</v>
      </c>
      <c r="S348" s="1" t="s">
        <v>27</v>
      </c>
      <c r="T348" s="6">
        <v>1</v>
      </c>
      <c r="W348" s="1">
        <v>70</v>
      </c>
      <c r="Z348" s="1">
        <v>84.4</v>
      </c>
      <c r="AC348" s="1">
        <v>14.8</v>
      </c>
      <c r="AJ348" s="1">
        <v>0.8</v>
      </c>
      <c r="AQ348" s="1" t="s">
        <v>15</v>
      </c>
      <c r="AV348" s="1">
        <v>1</v>
      </c>
      <c r="CM348" s="1" t="s">
        <v>15</v>
      </c>
      <c r="CZ348" s="1">
        <v>0.05</v>
      </c>
      <c r="DB348" s="1">
        <v>0.04</v>
      </c>
      <c r="DC348" s="1">
        <v>1.89</v>
      </c>
      <c r="DE348" s="1">
        <v>0.65</v>
      </c>
      <c r="DJ348" s="1">
        <v>7.0000000000000007E-2</v>
      </c>
      <c r="DK348" s="1">
        <v>30</v>
      </c>
      <c r="DM348" s="1">
        <v>2.4</v>
      </c>
      <c r="DN348" s="1" t="s">
        <v>15</v>
      </c>
      <c r="EY348" s="1">
        <v>102</v>
      </c>
    </row>
    <row r="349" spans="1:155" x14ac:dyDescent="0.2">
      <c r="A349" s="1" t="s">
        <v>2857</v>
      </c>
      <c r="B349" s="1" t="s">
        <v>1912</v>
      </c>
      <c r="C349" s="1" t="s">
        <v>2850</v>
      </c>
      <c r="D349" s="1" t="s">
        <v>2</v>
      </c>
      <c r="E349" s="1">
        <v>41</v>
      </c>
      <c r="F349" s="1" t="s">
        <v>2851</v>
      </c>
      <c r="H349" s="1" t="s">
        <v>2858</v>
      </c>
      <c r="I349" s="1" t="s">
        <v>11</v>
      </c>
      <c r="J349" s="1" t="s">
        <v>2853</v>
      </c>
      <c r="K349" s="1" t="s">
        <v>2854</v>
      </c>
      <c r="L349" s="1" t="s">
        <v>2853</v>
      </c>
      <c r="M349" s="1" t="s">
        <v>2855</v>
      </c>
      <c r="O349" s="1">
        <v>2</v>
      </c>
      <c r="P349" s="1" t="s">
        <v>2856</v>
      </c>
      <c r="Q349" s="1">
        <v>1992</v>
      </c>
      <c r="R349" s="1" t="s">
        <v>2829</v>
      </c>
      <c r="S349" s="1" t="s">
        <v>27</v>
      </c>
      <c r="T349" s="6">
        <v>1</v>
      </c>
      <c r="W349" s="1">
        <v>84</v>
      </c>
      <c r="Z349" s="1">
        <v>81.599999999999994</v>
      </c>
      <c r="AC349" s="1">
        <v>17</v>
      </c>
      <c r="AJ349" s="1">
        <v>1.2</v>
      </c>
      <c r="AQ349" s="1" t="s">
        <v>15</v>
      </c>
      <c r="AV349" s="1">
        <v>1</v>
      </c>
      <c r="CM349" s="1">
        <v>40</v>
      </c>
      <c r="CZ349" s="1">
        <v>0.06</v>
      </c>
      <c r="DB349" s="1">
        <v>0.1</v>
      </c>
      <c r="DC349" s="1">
        <v>1.72</v>
      </c>
      <c r="DE349" s="1">
        <v>0.56000000000000005</v>
      </c>
      <c r="DJ349" s="1">
        <v>0.19</v>
      </c>
      <c r="DK349" s="1">
        <v>10</v>
      </c>
      <c r="DM349" s="1">
        <v>3</v>
      </c>
      <c r="DN349" s="1" t="s">
        <v>15</v>
      </c>
      <c r="EY349" s="1">
        <v>131</v>
      </c>
    </row>
    <row r="350" spans="1:155" x14ac:dyDescent="0.2">
      <c r="A350" s="1" t="s">
        <v>2859</v>
      </c>
      <c r="B350" s="1" t="s">
        <v>1912</v>
      </c>
      <c r="C350" s="1" t="s">
        <v>2850</v>
      </c>
      <c r="D350" s="1" t="s">
        <v>2</v>
      </c>
      <c r="E350" s="1">
        <v>41</v>
      </c>
      <c r="F350" s="1" t="s">
        <v>2860</v>
      </c>
      <c r="H350" s="1" t="s">
        <v>2861</v>
      </c>
      <c r="I350" s="1" t="s">
        <v>7</v>
      </c>
      <c r="J350" s="1" t="s">
        <v>2862</v>
      </c>
      <c r="K350" s="1" t="s">
        <v>2863</v>
      </c>
      <c r="L350" s="1" t="s">
        <v>2864</v>
      </c>
      <c r="M350" s="1" t="s">
        <v>2855</v>
      </c>
      <c r="O350" s="1">
        <v>2</v>
      </c>
      <c r="P350" s="1" t="s">
        <v>2856</v>
      </c>
      <c r="Q350" s="1">
        <v>1992</v>
      </c>
      <c r="R350" s="1" t="s">
        <v>2829</v>
      </c>
      <c r="S350" s="1" t="s">
        <v>27</v>
      </c>
      <c r="T350" s="6">
        <v>1</v>
      </c>
      <c r="W350" s="1">
        <v>74</v>
      </c>
      <c r="Z350" s="1">
        <v>83.8</v>
      </c>
      <c r="AC350" s="1">
        <v>14.9</v>
      </c>
      <c r="AJ350" s="1">
        <v>1.1000000000000001</v>
      </c>
      <c r="AQ350" s="1" t="s">
        <v>15</v>
      </c>
      <c r="AV350" s="1">
        <v>1</v>
      </c>
      <c r="CM350" s="1" t="s">
        <v>15</v>
      </c>
      <c r="CZ350" s="1">
        <v>0.04</v>
      </c>
      <c r="DB350" s="1">
        <v>0.03</v>
      </c>
      <c r="DC350" s="1">
        <v>1.84</v>
      </c>
      <c r="DE350" s="1">
        <v>0.49</v>
      </c>
      <c r="DJ350" s="1">
        <v>0.08</v>
      </c>
      <c r="DK350" s="1">
        <v>30</v>
      </c>
      <c r="DM350" s="1">
        <v>1.8</v>
      </c>
      <c r="DN350" s="1" t="s">
        <v>15</v>
      </c>
      <c r="EY350" s="1">
        <v>112</v>
      </c>
    </row>
    <row r="351" spans="1:155" x14ac:dyDescent="0.2">
      <c r="A351" s="1" t="s">
        <v>2865</v>
      </c>
      <c r="B351" s="1" t="s">
        <v>1912</v>
      </c>
      <c r="C351" s="1" t="s">
        <v>2850</v>
      </c>
      <c r="D351" s="1" t="s">
        <v>2</v>
      </c>
      <c r="E351" s="1">
        <v>41</v>
      </c>
      <c r="F351" s="1" t="s">
        <v>2860</v>
      </c>
      <c r="H351" s="1" t="s">
        <v>2866</v>
      </c>
      <c r="I351" s="1" t="s">
        <v>11</v>
      </c>
      <c r="J351" s="1" t="s">
        <v>2862</v>
      </c>
      <c r="K351" s="1" t="s">
        <v>2863</v>
      </c>
      <c r="L351" s="1" t="s">
        <v>2864</v>
      </c>
      <c r="M351" s="1" t="s">
        <v>2855</v>
      </c>
      <c r="O351" s="1">
        <v>2</v>
      </c>
      <c r="P351" s="1" t="s">
        <v>2856</v>
      </c>
      <c r="Q351" s="1">
        <v>1992</v>
      </c>
      <c r="R351" s="1" t="s">
        <v>2829</v>
      </c>
      <c r="S351" s="1" t="s">
        <v>27</v>
      </c>
      <c r="T351" s="6">
        <v>1</v>
      </c>
      <c r="W351" s="1">
        <v>89</v>
      </c>
      <c r="Z351" s="1">
        <v>80</v>
      </c>
      <c r="AC351" s="1">
        <v>18.100000000000001</v>
      </c>
      <c r="AJ351" s="1">
        <v>1.4</v>
      </c>
      <c r="AQ351" s="1" t="s">
        <v>15</v>
      </c>
      <c r="AV351" s="1">
        <v>1.2</v>
      </c>
      <c r="CM351" s="1">
        <v>30</v>
      </c>
      <c r="CZ351" s="1">
        <v>0.04</v>
      </c>
      <c r="DB351" s="1">
        <v>0.06</v>
      </c>
      <c r="DC351" s="1">
        <v>1.62</v>
      </c>
      <c r="DE351" s="1">
        <v>0.46</v>
      </c>
      <c r="DJ351" s="1">
        <v>0.08</v>
      </c>
      <c r="DK351" s="1">
        <v>10</v>
      </c>
      <c r="DM351" s="1">
        <v>3.2</v>
      </c>
      <c r="DN351" s="1" t="s">
        <v>15</v>
      </c>
      <c r="EY351" s="1">
        <v>144</v>
      </c>
    </row>
    <row r="352" spans="1:155" x14ac:dyDescent="0.2">
      <c r="A352" s="1" t="s">
        <v>2867</v>
      </c>
      <c r="B352" s="1" t="s">
        <v>57</v>
      </c>
      <c r="C352" s="1" t="s">
        <v>2868</v>
      </c>
      <c r="D352" s="1" t="s">
        <v>2</v>
      </c>
      <c r="E352" s="1">
        <v>53</v>
      </c>
      <c r="F352" s="1" t="s">
        <v>2869</v>
      </c>
      <c r="H352" s="1" t="s">
        <v>2870</v>
      </c>
      <c r="I352" s="1" t="s">
        <v>7</v>
      </c>
      <c r="J352" s="1" t="s">
        <v>2871</v>
      </c>
      <c r="K352" s="1" t="s">
        <v>2872</v>
      </c>
      <c r="L352" s="1" t="s">
        <v>2871</v>
      </c>
      <c r="M352" s="1" t="s">
        <v>2873</v>
      </c>
      <c r="O352" s="1">
        <v>2</v>
      </c>
      <c r="P352" s="1" t="s">
        <v>2874</v>
      </c>
      <c r="Q352" s="1">
        <v>1992</v>
      </c>
      <c r="R352" s="1" t="s">
        <v>2829</v>
      </c>
      <c r="S352" s="1" t="s">
        <v>27</v>
      </c>
      <c r="T352" s="6">
        <v>1</v>
      </c>
      <c r="W352" s="1">
        <v>48</v>
      </c>
      <c r="Z352" s="1" t="s">
        <v>2875</v>
      </c>
      <c r="AC352" s="1" t="s">
        <v>2876</v>
      </c>
      <c r="AJ352" s="1" t="s">
        <v>2877</v>
      </c>
      <c r="AQ352" s="1">
        <v>4</v>
      </c>
      <c r="AV352" s="1" t="s">
        <v>2878</v>
      </c>
      <c r="CM352" s="1">
        <v>20</v>
      </c>
      <c r="CZ352" s="1">
        <v>0.12</v>
      </c>
      <c r="DB352" s="1">
        <v>0.02</v>
      </c>
      <c r="DC352" s="1">
        <v>1.26</v>
      </c>
      <c r="DE352" s="1">
        <v>0.08</v>
      </c>
      <c r="DJ352" s="1">
        <v>0.05</v>
      </c>
      <c r="DK352" s="1">
        <v>10</v>
      </c>
      <c r="DM352" s="1">
        <v>14.4</v>
      </c>
      <c r="DN352" s="1">
        <v>3.8</v>
      </c>
      <c r="EY352" s="1">
        <v>26</v>
      </c>
    </row>
    <row r="353" spans="1:155" x14ac:dyDescent="0.2">
      <c r="A353" s="1" t="s">
        <v>2879</v>
      </c>
      <c r="B353" s="1" t="s">
        <v>55</v>
      </c>
      <c r="C353" s="1" t="s">
        <v>2812</v>
      </c>
      <c r="D353" s="1" t="s">
        <v>2</v>
      </c>
      <c r="E353" s="1">
        <v>23</v>
      </c>
      <c r="F353" s="1" t="s">
        <v>1472</v>
      </c>
      <c r="H353" s="1" t="s">
        <v>2813</v>
      </c>
      <c r="I353" s="1" t="s">
        <v>7</v>
      </c>
      <c r="J353" s="1" t="s">
        <v>1474</v>
      </c>
      <c r="K353" s="1" t="s">
        <v>1475</v>
      </c>
      <c r="L353" s="1" t="s">
        <v>1474</v>
      </c>
      <c r="M353" s="1" t="s">
        <v>2880</v>
      </c>
      <c r="O353" s="1">
        <v>1</v>
      </c>
      <c r="Q353" s="1">
        <v>1995</v>
      </c>
      <c r="R353" s="1" t="s">
        <v>2881</v>
      </c>
      <c r="S353" s="1" t="s">
        <v>27</v>
      </c>
      <c r="T353" s="6">
        <v>1</v>
      </c>
      <c r="Z353" s="1">
        <v>66.400000000000006</v>
      </c>
      <c r="AJ353" s="1">
        <v>13.4</v>
      </c>
      <c r="CR353" s="1">
        <v>7.3</v>
      </c>
    </row>
    <row r="354" spans="1:155" x14ac:dyDescent="0.2">
      <c r="A354" s="1" t="s">
        <v>2882</v>
      </c>
      <c r="B354" s="1" t="s">
        <v>55</v>
      </c>
      <c r="C354" s="1" t="s">
        <v>2812</v>
      </c>
      <c r="D354" s="1" t="s">
        <v>2</v>
      </c>
      <c r="E354" s="1">
        <v>23</v>
      </c>
      <c r="F354" s="1" t="s">
        <v>1472</v>
      </c>
      <c r="H354" s="1" t="s">
        <v>2813</v>
      </c>
      <c r="I354" s="1" t="s">
        <v>7</v>
      </c>
      <c r="J354" s="1" t="s">
        <v>1474</v>
      </c>
      <c r="K354" s="1" t="s">
        <v>1475</v>
      </c>
      <c r="L354" s="1" t="s">
        <v>1474</v>
      </c>
      <c r="M354" s="1" t="s">
        <v>2883</v>
      </c>
      <c r="O354" s="1">
        <v>1</v>
      </c>
      <c r="Q354" s="1">
        <v>1995</v>
      </c>
      <c r="R354" s="1" t="s">
        <v>2881</v>
      </c>
      <c r="S354" s="1" t="s">
        <v>27</v>
      </c>
      <c r="T354" s="6">
        <v>1</v>
      </c>
      <c r="Z354" s="1">
        <v>69.5</v>
      </c>
      <c r="AJ354" s="1">
        <v>10</v>
      </c>
      <c r="CR354" s="1">
        <v>7.83</v>
      </c>
    </row>
    <row r="355" spans="1:155" x14ac:dyDescent="0.2">
      <c r="A355" s="1" t="s">
        <v>2884</v>
      </c>
      <c r="B355" s="1" t="s">
        <v>55</v>
      </c>
      <c r="C355" s="1" t="s">
        <v>2885</v>
      </c>
      <c r="D355" s="1" t="s">
        <v>2</v>
      </c>
      <c r="E355" s="1">
        <v>33</v>
      </c>
      <c r="F355" s="1" t="s">
        <v>2886</v>
      </c>
      <c r="H355" s="1" t="s">
        <v>2887</v>
      </c>
      <c r="I355" s="1" t="s">
        <v>7</v>
      </c>
      <c r="J355" s="1" t="s">
        <v>2888</v>
      </c>
      <c r="K355" s="1" t="s">
        <v>2889</v>
      </c>
      <c r="L355" s="1" t="s">
        <v>2888</v>
      </c>
      <c r="M355" s="1" t="s">
        <v>2890</v>
      </c>
      <c r="N355" s="1" t="s">
        <v>2891</v>
      </c>
      <c r="P355" s="1" t="s">
        <v>2892</v>
      </c>
      <c r="Q355" s="1">
        <v>2010</v>
      </c>
      <c r="R355" s="1" t="s">
        <v>2893</v>
      </c>
      <c r="S355" s="1" t="s">
        <v>27</v>
      </c>
      <c r="T355" s="6">
        <v>1</v>
      </c>
      <c r="AH355" s="1">
        <v>6.49</v>
      </c>
      <c r="AK355" s="1">
        <v>1.67628</v>
      </c>
      <c r="AL355" s="1">
        <v>2.4527999999999999</v>
      </c>
      <c r="AM355" s="1">
        <v>1.0670999999999999</v>
      </c>
      <c r="EY355" s="1">
        <v>149.30000000000001</v>
      </c>
    </row>
    <row r="356" spans="1:155" x14ac:dyDescent="0.2">
      <c r="A356" s="1" t="s">
        <v>2894</v>
      </c>
      <c r="B356" s="1" t="s">
        <v>55</v>
      </c>
      <c r="C356" s="1" t="s">
        <v>2895</v>
      </c>
      <c r="E356" s="1">
        <v>11</v>
      </c>
      <c r="F356" s="1" t="s">
        <v>2896</v>
      </c>
      <c r="H356" s="1" t="s">
        <v>2897</v>
      </c>
      <c r="I356" s="1" t="s">
        <v>7</v>
      </c>
      <c r="J356" s="1" t="s">
        <v>2898</v>
      </c>
      <c r="K356" s="1" t="s">
        <v>2899</v>
      </c>
      <c r="L356" s="1" t="s">
        <v>2898</v>
      </c>
      <c r="P356" s="1" t="s">
        <v>1270</v>
      </c>
      <c r="Q356" s="1">
        <v>2008</v>
      </c>
      <c r="R356" s="1" t="s">
        <v>2900</v>
      </c>
      <c r="S356" s="1" t="s">
        <v>27</v>
      </c>
      <c r="T356" s="6">
        <v>1</v>
      </c>
      <c r="Z356" s="1">
        <v>77.599999999999994</v>
      </c>
      <c r="AA356" s="1">
        <v>6.25</v>
      </c>
      <c r="AC356" s="1">
        <v>19.100000000000001</v>
      </c>
      <c r="AH356" s="1">
        <v>1.85</v>
      </c>
      <c r="AK356" s="1">
        <v>0.50657600000000003</v>
      </c>
      <c r="AL356" s="1">
        <v>0.44325399999999998</v>
      </c>
      <c r="AM356" s="1">
        <v>0.52715564999999998</v>
      </c>
      <c r="AV356" s="1">
        <v>1.1499999999999999</v>
      </c>
      <c r="DR356" s="1">
        <v>8213</v>
      </c>
      <c r="DU356" s="1">
        <v>1113.53</v>
      </c>
      <c r="DV356" s="1">
        <v>1180.3800000000001</v>
      </c>
      <c r="DX356" s="1">
        <v>2024.6</v>
      </c>
      <c r="DY356" s="1">
        <v>99.32</v>
      </c>
      <c r="EA356" s="1">
        <v>3304.3</v>
      </c>
      <c r="EB356" s="1">
        <v>928.26</v>
      </c>
      <c r="EC356" s="1">
        <v>603.55999999999995</v>
      </c>
      <c r="EF356" s="1">
        <v>804.11</v>
      </c>
      <c r="EG356" s="1">
        <v>1663.61</v>
      </c>
      <c r="EH356" s="1">
        <v>1873.71</v>
      </c>
      <c r="EI356" s="1">
        <v>565.36</v>
      </c>
      <c r="EK356" s="1">
        <v>798.38</v>
      </c>
      <c r="EL356" s="1">
        <v>687.6</v>
      </c>
      <c r="EM356" s="1">
        <v>806.02</v>
      </c>
      <c r="EO356" s="1">
        <v>876.69</v>
      </c>
      <c r="EQ356" s="1">
        <v>670.41</v>
      </c>
      <c r="ER356" s="1">
        <v>870.96</v>
      </c>
    </row>
    <row r="357" spans="1:155" x14ac:dyDescent="0.2">
      <c r="A357" s="1" t="s">
        <v>2901</v>
      </c>
      <c r="B357" s="1" t="s">
        <v>55</v>
      </c>
      <c r="C357" s="1" t="s">
        <v>2895</v>
      </c>
      <c r="E357" s="1">
        <v>11</v>
      </c>
      <c r="F357" s="1" t="s">
        <v>2896</v>
      </c>
      <c r="H357" s="1" t="s">
        <v>2902</v>
      </c>
      <c r="I357" s="1" t="s">
        <v>9</v>
      </c>
      <c r="J357" s="1" t="s">
        <v>2898</v>
      </c>
      <c r="K357" s="1" t="s">
        <v>2899</v>
      </c>
      <c r="L357" s="1" t="s">
        <v>2898</v>
      </c>
      <c r="P357" s="1" t="s">
        <v>1270</v>
      </c>
      <c r="Q357" s="1">
        <v>2008</v>
      </c>
      <c r="R357" s="1" t="s">
        <v>2900</v>
      </c>
      <c r="S357" s="1" t="s">
        <v>27</v>
      </c>
      <c r="T357" s="6">
        <v>1</v>
      </c>
      <c r="Z357" s="1">
        <v>20.2</v>
      </c>
      <c r="AA357" s="1">
        <v>6.25</v>
      </c>
      <c r="AC357" s="1">
        <v>69.5</v>
      </c>
      <c r="AH357" s="1">
        <v>5.13</v>
      </c>
      <c r="AK357" s="1">
        <v>1.42084674</v>
      </c>
      <c r="AL357" s="1">
        <v>0.99830735000000004</v>
      </c>
      <c r="AM357" s="1">
        <v>1.90839219</v>
      </c>
      <c r="AV357" s="1">
        <v>4.26</v>
      </c>
      <c r="DR357" s="1">
        <v>30163</v>
      </c>
      <c r="DU357" s="1">
        <v>4100.5</v>
      </c>
      <c r="DV357" s="1">
        <v>4350.7</v>
      </c>
      <c r="DX357" s="1">
        <v>7228</v>
      </c>
      <c r="DY357" s="1">
        <v>417</v>
      </c>
      <c r="EA357" s="1">
        <v>11815</v>
      </c>
      <c r="EB357" s="1">
        <v>3648.75</v>
      </c>
      <c r="EC357" s="1">
        <v>1897.35</v>
      </c>
      <c r="EF357" s="1">
        <v>3030.2</v>
      </c>
      <c r="EG357" s="1">
        <v>6081.25</v>
      </c>
      <c r="EH357" s="1">
        <v>6734.55</v>
      </c>
      <c r="EI357" s="1">
        <v>2064.15</v>
      </c>
      <c r="EK357" s="1">
        <v>2856.45</v>
      </c>
      <c r="EL357" s="1">
        <v>2529.8000000000002</v>
      </c>
      <c r="EM357" s="1">
        <v>2967.65</v>
      </c>
      <c r="EO357" s="1">
        <v>3224.8</v>
      </c>
      <c r="EQ357" s="1">
        <v>2453.35</v>
      </c>
      <c r="ER357" s="1">
        <v>3280.4</v>
      </c>
    </row>
    <row r="358" spans="1:155" x14ac:dyDescent="0.2">
      <c r="A358" s="1" t="s">
        <v>2903</v>
      </c>
      <c r="B358" s="1" t="s">
        <v>55</v>
      </c>
      <c r="C358" s="1" t="s">
        <v>2895</v>
      </c>
      <c r="E358" s="1">
        <v>11</v>
      </c>
      <c r="F358" s="1" t="s">
        <v>2896</v>
      </c>
      <c r="H358" s="1" t="s">
        <v>2904</v>
      </c>
      <c r="I358" s="1" t="s">
        <v>9</v>
      </c>
      <c r="J358" s="1" t="s">
        <v>2898</v>
      </c>
      <c r="K358" s="1" t="s">
        <v>2899</v>
      </c>
      <c r="L358" s="1" t="s">
        <v>2898</v>
      </c>
      <c r="P358" s="1" t="s">
        <v>1270</v>
      </c>
      <c r="Q358" s="1">
        <v>2008</v>
      </c>
      <c r="R358" s="1" t="s">
        <v>2900</v>
      </c>
      <c r="S358" s="1" t="s">
        <v>27</v>
      </c>
      <c r="T358" s="6">
        <v>1</v>
      </c>
      <c r="Z358" s="1">
        <v>20.399999999999999</v>
      </c>
      <c r="AA358" s="1">
        <v>6.25</v>
      </c>
      <c r="AC358" s="1">
        <v>69.2</v>
      </c>
      <c r="AH358" s="1">
        <v>5.56</v>
      </c>
      <c r="AK358" s="1">
        <v>1.49821056</v>
      </c>
      <c r="AL358" s="1">
        <v>1.14005248</v>
      </c>
      <c r="AM358" s="1">
        <v>2.0884147199999998</v>
      </c>
      <c r="AV358" s="1">
        <v>4.28</v>
      </c>
      <c r="DR358" s="1">
        <v>30309.599999999999</v>
      </c>
      <c r="DU358" s="1">
        <v>4124.32</v>
      </c>
      <c r="DV358" s="1">
        <v>4248.88</v>
      </c>
      <c r="DX358" s="1">
        <v>7335.2</v>
      </c>
      <c r="DY358" s="1">
        <v>408.28</v>
      </c>
      <c r="EA358" s="1">
        <v>11625.6</v>
      </c>
      <c r="EB358" s="1">
        <v>3397.72</v>
      </c>
      <c r="EC358" s="1">
        <v>1999.88</v>
      </c>
      <c r="EF358" s="1">
        <v>3030.96</v>
      </c>
      <c r="EG358" s="1">
        <v>6124.2</v>
      </c>
      <c r="EH358" s="1">
        <v>6857.72</v>
      </c>
      <c r="EI358" s="1">
        <v>2027.56</v>
      </c>
      <c r="EK358" s="1">
        <v>2954.84</v>
      </c>
      <c r="EL358" s="1">
        <v>2415.08</v>
      </c>
      <c r="EM358" s="1">
        <v>2892.56</v>
      </c>
      <c r="EO358" s="1">
        <v>3176.28</v>
      </c>
      <c r="EQ358" s="1">
        <v>2442.7600000000002</v>
      </c>
      <c r="ER358" s="1">
        <v>3300.84</v>
      </c>
    </row>
    <row r="359" spans="1:155" x14ac:dyDescent="0.2">
      <c r="A359" s="1" t="s">
        <v>2905</v>
      </c>
      <c r="B359" s="1" t="s">
        <v>55</v>
      </c>
      <c r="C359" s="1" t="s">
        <v>1030</v>
      </c>
      <c r="D359" s="1" t="s">
        <v>2</v>
      </c>
      <c r="E359" s="1">
        <v>13</v>
      </c>
      <c r="F359" s="1" t="s">
        <v>2906</v>
      </c>
      <c r="H359" s="1" t="s">
        <v>2907</v>
      </c>
      <c r="I359" s="1" t="s">
        <v>7</v>
      </c>
      <c r="J359" s="1" t="s">
        <v>2908</v>
      </c>
      <c r="K359" s="1" t="s">
        <v>2909</v>
      </c>
      <c r="L359" s="1" t="s">
        <v>2908</v>
      </c>
      <c r="N359" s="1" t="s">
        <v>2910</v>
      </c>
      <c r="P359" s="1" t="s">
        <v>2911</v>
      </c>
      <c r="Q359" s="1">
        <v>2006</v>
      </c>
      <c r="R359" s="1" t="s">
        <v>2912</v>
      </c>
      <c r="S359" s="1" t="s">
        <v>27</v>
      </c>
      <c r="T359" s="6">
        <v>1</v>
      </c>
      <c r="Z359" s="1">
        <v>80.599999999999994</v>
      </c>
      <c r="AA359" s="1">
        <v>6.25</v>
      </c>
      <c r="AB359" s="1">
        <v>2.8323999999999998</v>
      </c>
      <c r="AC359" s="1">
        <v>17.8674</v>
      </c>
      <c r="AI359" s="1">
        <v>0.53932000000000002</v>
      </c>
      <c r="AK359" s="1">
        <v>0.13248126139999999</v>
      </c>
      <c r="AY359" s="1">
        <v>5.4320000000000004</v>
      </c>
      <c r="BA359" s="1" t="s">
        <v>15</v>
      </c>
      <c r="BB359" s="1">
        <v>7.5659999999999998</v>
      </c>
      <c r="BD359" s="1">
        <v>8.7299999999999999E-3</v>
      </c>
      <c r="BF359" s="1">
        <v>9.5060000000000006E-2</v>
      </c>
      <c r="BH359" s="1">
        <v>72.168000000000006</v>
      </c>
      <c r="BJ359" s="1">
        <v>5.6260000000000003</v>
      </c>
      <c r="BK359" s="1">
        <v>5.6259999999999999E-3</v>
      </c>
      <c r="BL359" s="1">
        <v>0.19400000000000001</v>
      </c>
      <c r="BM359" s="1">
        <v>6.2080000000000002</v>
      </c>
      <c r="BO359" s="1" t="s">
        <v>15</v>
      </c>
      <c r="BP359" s="1">
        <v>40.351999999999997</v>
      </c>
      <c r="BS359" s="1">
        <v>23.28</v>
      </c>
      <c r="BW359" s="1">
        <v>0.11465400000000001</v>
      </c>
      <c r="BX359" s="1">
        <v>69.257999999999996</v>
      </c>
      <c r="BY359" s="1">
        <v>27.547999999999998</v>
      </c>
      <c r="BZ359" s="1">
        <v>5.0439999999999996</v>
      </c>
      <c r="CA359" s="1">
        <v>4.6559999999999997</v>
      </c>
      <c r="CC359" s="1">
        <v>80.510000000000005</v>
      </c>
      <c r="CD359" s="1">
        <v>19.399999999999999</v>
      </c>
      <c r="DU359" s="1">
        <v>789.58</v>
      </c>
      <c r="DV359" s="1">
        <v>1004.92</v>
      </c>
      <c r="DX359" s="1">
        <v>1431.72</v>
      </c>
      <c r="DY359" s="1">
        <v>50.44</v>
      </c>
      <c r="EA359" s="1">
        <v>2172.8000000000002</v>
      </c>
      <c r="EB359" s="1">
        <v>613.04</v>
      </c>
      <c r="EC359" s="1">
        <v>358.9</v>
      </c>
      <c r="EF359" s="1">
        <v>787.64</v>
      </c>
      <c r="EG359" s="1">
        <v>1204.74</v>
      </c>
      <c r="EH359" s="1">
        <v>1480.22</v>
      </c>
      <c r="EI359" s="1">
        <v>485</v>
      </c>
      <c r="EK359" s="1">
        <v>679</v>
      </c>
      <c r="EL359" s="1">
        <v>461.72</v>
      </c>
      <c r="EM359" s="1">
        <v>355.02</v>
      </c>
      <c r="EO359" s="1">
        <v>514.1</v>
      </c>
      <c r="EQ359" s="1">
        <v>492.76</v>
      </c>
      <c r="ER359" s="1">
        <v>777.94</v>
      </c>
    </row>
    <row r="360" spans="1:155" x14ac:dyDescent="0.2">
      <c r="A360" s="1" t="s">
        <v>2913</v>
      </c>
      <c r="B360" s="1" t="s">
        <v>55</v>
      </c>
      <c r="C360" s="1" t="s">
        <v>2914</v>
      </c>
      <c r="D360" s="1" t="s">
        <v>2</v>
      </c>
      <c r="E360" s="1">
        <v>13</v>
      </c>
      <c r="F360" s="1" t="s">
        <v>2915</v>
      </c>
      <c r="H360" s="1" t="s">
        <v>2916</v>
      </c>
      <c r="I360" s="1" t="s">
        <v>7</v>
      </c>
      <c r="J360" s="1" t="s">
        <v>2917</v>
      </c>
      <c r="L360" s="1" t="s">
        <v>2918</v>
      </c>
      <c r="N360" s="1" t="s">
        <v>2919</v>
      </c>
      <c r="P360" s="1" t="s">
        <v>1270</v>
      </c>
      <c r="Q360" s="1">
        <v>1995</v>
      </c>
      <c r="R360" s="1" t="s">
        <v>2920</v>
      </c>
      <c r="S360" s="1" t="s">
        <v>27</v>
      </c>
      <c r="T360" s="6">
        <v>1</v>
      </c>
      <c r="Z360" s="1">
        <v>72.69</v>
      </c>
      <c r="AA360" s="1">
        <v>6.25</v>
      </c>
      <c r="AC360" s="1">
        <v>24.8</v>
      </c>
      <c r="AH360" s="1">
        <v>2.84</v>
      </c>
      <c r="AK360" s="1">
        <v>0.76053884800000005</v>
      </c>
      <c r="AL360" s="1">
        <v>1.010709504</v>
      </c>
      <c r="AM360" s="1">
        <v>0.73597299199999999</v>
      </c>
      <c r="AV360" s="1">
        <v>1.59</v>
      </c>
    </row>
    <row r="361" spans="1:155" x14ac:dyDescent="0.2">
      <c r="A361" s="1" t="s">
        <v>2921</v>
      </c>
      <c r="B361" s="1" t="s">
        <v>55</v>
      </c>
      <c r="C361" s="1" t="s">
        <v>2914</v>
      </c>
      <c r="D361" s="1" t="s">
        <v>2</v>
      </c>
      <c r="E361" s="1">
        <v>13</v>
      </c>
      <c r="F361" s="1" t="s">
        <v>2915</v>
      </c>
      <c r="H361" s="1" t="s">
        <v>2922</v>
      </c>
      <c r="I361" s="1" t="s">
        <v>7</v>
      </c>
      <c r="J361" s="1" t="s">
        <v>2918</v>
      </c>
      <c r="K361" s="1" t="s">
        <v>2923</v>
      </c>
      <c r="L361" s="1" t="s">
        <v>2918</v>
      </c>
      <c r="N361" s="1" t="s">
        <v>2924</v>
      </c>
      <c r="P361" s="1" t="s">
        <v>1270</v>
      </c>
      <c r="Q361" s="1">
        <v>1995</v>
      </c>
      <c r="R361" s="1" t="s">
        <v>2920</v>
      </c>
      <c r="S361" s="1" t="s">
        <v>27</v>
      </c>
      <c r="T361" s="6">
        <v>1</v>
      </c>
      <c r="Z361" s="1">
        <v>78.22</v>
      </c>
      <c r="AA361" s="1">
        <v>6.25</v>
      </c>
      <c r="AC361" s="1">
        <v>18.899999999999999</v>
      </c>
      <c r="AH361" s="1">
        <v>2.63</v>
      </c>
      <c r="AK361" s="1">
        <v>0.80068873500000004</v>
      </c>
      <c r="AL361" s="1">
        <v>0.84852208799999995</v>
      </c>
      <c r="AM361" s="1">
        <v>0.66804938899999999</v>
      </c>
      <c r="AV361" s="1">
        <v>1.17</v>
      </c>
    </row>
    <row r="362" spans="1:155" x14ac:dyDescent="0.2">
      <c r="A362" s="1" t="s">
        <v>2925</v>
      </c>
      <c r="B362" s="1" t="s">
        <v>55</v>
      </c>
      <c r="C362" s="1" t="s">
        <v>2926</v>
      </c>
      <c r="D362" s="1" t="s">
        <v>2</v>
      </c>
      <c r="E362" s="1">
        <v>13</v>
      </c>
      <c r="F362" s="1" t="s">
        <v>2915</v>
      </c>
      <c r="H362" s="1" t="s">
        <v>2927</v>
      </c>
      <c r="I362" s="1" t="s">
        <v>7</v>
      </c>
      <c r="J362" s="1" t="s">
        <v>2918</v>
      </c>
      <c r="K362" s="1" t="s">
        <v>2923</v>
      </c>
      <c r="L362" s="1" t="s">
        <v>2918</v>
      </c>
      <c r="M362" s="1" t="s">
        <v>2928</v>
      </c>
      <c r="N362" s="1" t="s">
        <v>2929</v>
      </c>
      <c r="O362" s="1">
        <v>3</v>
      </c>
      <c r="P362" s="1" t="s">
        <v>2930</v>
      </c>
      <c r="Q362" s="1">
        <v>2002</v>
      </c>
      <c r="R362" s="1" t="s">
        <v>2931</v>
      </c>
      <c r="S362" s="1" t="s">
        <v>27</v>
      </c>
      <c r="T362" s="6">
        <v>1</v>
      </c>
      <c r="U362" s="1">
        <v>0.34599999999999997</v>
      </c>
      <c r="Z362" s="1">
        <v>71.8</v>
      </c>
      <c r="AE362" s="1">
        <v>19.2</v>
      </c>
      <c r="AH362" s="1">
        <v>7.8</v>
      </c>
      <c r="AV362" s="1">
        <v>1.2</v>
      </c>
    </row>
    <row r="363" spans="1:155" x14ac:dyDescent="0.2">
      <c r="A363" s="1" t="s">
        <v>2932</v>
      </c>
      <c r="B363" s="1" t="s">
        <v>55</v>
      </c>
      <c r="C363" s="1" t="s">
        <v>2926</v>
      </c>
      <c r="D363" s="1" t="s">
        <v>2</v>
      </c>
      <c r="E363" s="1">
        <v>13</v>
      </c>
      <c r="F363" s="1" t="s">
        <v>2915</v>
      </c>
      <c r="H363" s="1" t="s">
        <v>2933</v>
      </c>
      <c r="I363" s="1" t="s">
        <v>7</v>
      </c>
      <c r="J363" s="1" t="s">
        <v>2918</v>
      </c>
      <c r="K363" s="1" t="s">
        <v>2923</v>
      </c>
      <c r="L363" s="1" t="s">
        <v>2918</v>
      </c>
      <c r="M363" s="1" t="s">
        <v>2928</v>
      </c>
      <c r="N363" s="1" t="s">
        <v>2934</v>
      </c>
      <c r="O363" s="1">
        <v>3</v>
      </c>
      <c r="P363" s="1" t="s">
        <v>2930</v>
      </c>
      <c r="Q363" s="1">
        <v>2002</v>
      </c>
      <c r="R363" s="1" t="s">
        <v>2931</v>
      </c>
      <c r="S363" s="1" t="s">
        <v>27</v>
      </c>
      <c r="T363" s="6">
        <v>1</v>
      </c>
      <c r="Z363" s="1">
        <v>73.7</v>
      </c>
      <c r="AE363" s="1">
        <v>19.3</v>
      </c>
      <c r="AH363" s="1">
        <v>5.9</v>
      </c>
      <c r="AK363" s="1">
        <v>1.3511484</v>
      </c>
      <c r="AL363" s="1">
        <v>2.1500417000000001</v>
      </c>
      <c r="AM363" s="1">
        <v>1.8551481999999999</v>
      </c>
      <c r="AV363" s="1">
        <v>1.1000000000000001</v>
      </c>
      <c r="EW363" s="1">
        <v>29</v>
      </c>
    </row>
    <row r="364" spans="1:155" x14ac:dyDescent="0.2">
      <c r="A364" s="1" t="s">
        <v>2935</v>
      </c>
      <c r="B364" s="1" t="s">
        <v>55</v>
      </c>
      <c r="C364" s="1" t="s">
        <v>2926</v>
      </c>
      <c r="D364" s="1" t="s">
        <v>2</v>
      </c>
      <c r="E364" s="1">
        <v>13</v>
      </c>
      <c r="F364" s="1" t="s">
        <v>2915</v>
      </c>
      <c r="H364" s="1" t="s">
        <v>2936</v>
      </c>
      <c r="I364" s="1" t="s">
        <v>7</v>
      </c>
      <c r="J364" s="1" t="s">
        <v>2918</v>
      </c>
      <c r="K364" s="1" t="s">
        <v>2923</v>
      </c>
      <c r="L364" s="1" t="s">
        <v>2918</v>
      </c>
      <c r="M364" s="1" t="s">
        <v>2928</v>
      </c>
      <c r="N364" s="1" t="s">
        <v>2929</v>
      </c>
      <c r="O364" s="1">
        <v>3</v>
      </c>
      <c r="P364" s="1" t="s">
        <v>2930</v>
      </c>
      <c r="Q364" s="1">
        <v>2002</v>
      </c>
      <c r="R364" s="1" t="s">
        <v>2931</v>
      </c>
      <c r="S364" s="1" t="s">
        <v>27</v>
      </c>
      <c r="T364" s="6">
        <v>1</v>
      </c>
      <c r="U364" s="1">
        <v>0.38800000000000001</v>
      </c>
      <c r="Z364" s="1">
        <v>69.8</v>
      </c>
      <c r="AE364" s="1">
        <v>19</v>
      </c>
      <c r="AH364" s="1">
        <v>10</v>
      </c>
      <c r="AV364" s="1">
        <v>1.1000000000000001</v>
      </c>
    </row>
    <row r="365" spans="1:155" x14ac:dyDescent="0.2">
      <c r="A365" s="1" t="s">
        <v>2937</v>
      </c>
      <c r="B365" s="1" t="s">
        <v>55</v>
      </c>
      <c r="C365" s="1" t="s">
        <v>2926</v>
      </c>
      <c r="D365" s="1" t="s">
        <v>2</v>
      </c>
      <c r="E365" s="1">
        <v>13</v>
      </c>
      <c r="F365" s="1" t="s">
        <v>2915</v>
      </c>
      <c r="H365" s="1" t="s">
        <v>2938</v>
      </c>
      <c r="I365" s="1" t="s">
        <v>7</v>
      </c>
      <c r="J365" s="1" t="s">
        <v>2918</v>
      </c>
      <c r="K365" s="1" t="s">
        <v>2923</v>
      </c>
      <c r="L365" s="1" t="s">
        <v>2918</v>
      </c>
      <c r="M365" s="1" t="s">
        <v>2928</v>
      </c>
      <c r="N365" s="1" t="s">
        <v>2934</v>
      </c>
      <c r="O365" s="1">
        <v>3</v>
      </c>
      <c r="P365" s="1" t="s">
        <v>2930</v>
      </c>
      <c r="Q365" s="1">
        <v>2002</v>
      </c>
      <c r="R365" s="1" t="s">
        <v>2931</v>
      </c>
      <c r="S365" s="1" t="s">
        <v>27</v>
      </c>
      <c r="T365" s="6">
        <v>1</v>
      </c>
      <c r="Z365" s="1">
        <v>71.2</v>
      </c>
      <c r="AE365" s="1">
        <v>20.2</v>
      </c>
      <c r="AH365" s="1">
        <v>7.4</v>
      </c>
      <c r="AK365" s="1">
        <v>1.6159268</v>
      </c>
      <c r="AL365" s="1">
        <v>2.8599876000000002</v>
      </c>
      <c r="AM365" s="1">
        <v>2.2852855999999999</v>
      </c>
      <c r="AV365" s="1">
        <v>1.1000000000000001</v>
      </c>
      <c r="EW365" s="1">
        <v>23</v>
      </c>
    </row>
    <row r="366" spans="1:155" x14ac:dyDescent="0.2">
      <c r="A366" s="1" t="s">
        <v>2939</v>
      </c>
      <c r="B366" s="1" t="s">
        <v>55</v>
      </c>
      <c r="C366" s="1" t="s">
        <v>2926</v>
      </c>
      <c r="D366" s="1" t="s">
        <v>2</v>
      </c>
      <c r="E366" s="1">
        <v>13</v>
      </c>
      <c r="F366" s="1" t="s">
        <v>2915</v>
      </c>
      <c r="H366" s="1" t="s">
        <v>2940</v>
      </c>
      <c r="I366" s="1" t="s">
        <v>7</v>
      </c>
      <c r="J366" s="1" t="s">
        <v>2918</v>
      </c>
      <c r="K366" s="1" t="s">
        <v>2923</v>
      </c>
      <c r="L366" s="1" t="s">
        <v>2918</v>
      </c>
      <c r="M366" s="1" t="s">
        <v>2928</v>
      </c>
      <c r="N366" s="1" t="s">
        <v>2929</v>
      </c>
      <c r="O366" s="1">
        <v>3</v>
      </c>
      <c r="P366" s="1" t="s">
        <v>2930</v>
      </c>
      <c r="Q366" s="1">
        <v>2002</v>
      </c>
      <c r="R366" s="1" t="s">
        <v>2931</v>
      </c>
      <c r="S366" s="1" t="s">
        <v>27</v>
      </c>
      <c r="T366" s="6">
        <v>1</v>
      </c>
      <c r="U366" s="1">
        <v>0.33400000000000002</v>
      </c>
      <c r="Z366" s="1">
        <v>69.5</v>
      </c>
      <c r="AE366" s="1">
        <v>18.899999999999999</v>
      </c>
      <c r="AH366" s="1">
        <v>10.6</v>
      </c>
      <c r="AV366" s="1">
        <v>1</v>
      </c>
    </row>
    <row r="367" spans="1:155" x14ac:dyDescent="0.2">
      <c r="A367" s="1" t="s">
        <v>2941</v>
      </c>
      <c r="B367" s="1" t="s">
        <v>55</v>
      </c>
      <c r="C367" s="1" t="s">
        <v>2926</v>
      </c>
      <c r="D367" s="1" t="s">
        <v>2</v>
      </c>
      <c r="E367" s="1">
        <v>13</v>
      </c>
      <c r="F367" s="1" t="s">
        <v>2915</v>
      </c>
      <c r="H367" s="1" t="s">
        <v>2942</v>
      </c>
      <c r="I367" s="1" t="s">
        <v>7</v>
      </c>
      <c r="J367" s="1" t="s">
        <v>2918</v>
      </c>
      <c r="K367" s="1" t="s">
        <v>2923</v>
      </c>
      <c r="L367" s="1" t="s">
        <v>2918</v>
      </c>
      <c r="M367" s="1" t="s">
        <v>2928</v>
      </c>
      <c r="N367" s="1" t="s">
        <v>2934</v>
      </c>
      <c r="O367" s="1">
        <v>3</v>
      </c>
      <c r="P367" s="1" t="s">
        <v>2930</v>
      </c>
      <c r="Q367" s="1">
        <v>2002</v>
      </c>
      <c r="R367" s="1" t="s">
        <v>2931</v>
      </c>
      <c r="S367" s="1" t="s">
        <v>27</v>
      </c>
      <c r="T367" s="6">
        <v>1</v>
      </c>
      <c r="Z367" s="1">
        <v>71.599999999999994</v>
      </c>
      <c r="AE367" s="1">
        <v>19.7</v>
      </c>
      <c r="AH367" s="1">
        <v>7.6</v>
      </c>
      <c r="AK367" s="1">
        <v>1.6188374000000001</v>
      </c>
      <c r="AL367" s="1">
        <v>2.9528150000000002</v>
      </c>
      <c r="AM367" s="1">
        <v>2.3691998000000001</v>
      </c>
      <c r="AV367" s="1">
        <v>1.1000000000000001</v>
      </c>
      <c r="EW367" s="1">
        <v>23</v>
      </c>
    </row>
    <row r="368" spans="1:155" x14ac:dyDescent="0.2">
      <c r="A368" s="1" t="s">
        <v>2943</v>
      </c>
      <c r="B368" s="1" t="s">
        <v>55</v>
      </c>
      <c r="C368" s="1" t="s">
        <v>2056</v>
      </c>
      <c r="D368" s="1" t="s">
        <v>2</v>
      </c>
      <c r="E368" s="1">
        <v>33</v>
      </c>
      <c r="F368" s="1" t="s">
        <v>1289</v>
      </c>
      <c r="H368" s="1" t="s">
        <v>1290</v>
      </c>
      <c r="I368" s="1" t="s">
        <v>7</v>
      </c>
      <c r="J368" s="1" t="s">
        <v>1291</v>
      </c>
      <c r="K368" s="1" t="s">
        <v>1292</v>
      </c>
      <c r="L368" s="1" t="s">
        <v>1291</v>
      </c>
      <c r="N368" s="1" t="s">
        <v>2944</v>
      </c>
      <c r="P368" s="1" t="s">
        <v>1270</v>
      </c>
      <c r="Q368" s="1">
        <v>2007</v>
      </c>
      <c r="R368" s="1" t="s">
        <v>2945</v>
      </c>
      <c r="S368" s="1" t="s">
        <v>27</v>
      </c>
      <c r="T368" s="6">
        <v>1</v>
      </c>
      <c r="AH368" s="1">
        <v>5.54</v>
      </c>
      <c r="AK368" s="1">
        <v>1.3152570939999999</v>
      </c>
      <c r="AL368" s="1">
        <v>1.694706504</v>
      </c>
      <c r="AM368" s="1">
        <v>1.6424379760000001</v>
      </c>
    </row>
    <row r="369" spans="1:153" x14ac:dyDescent="0.2">
      <c r="A369" s="1" t="s">
        <v>2946</v>
      </c>
      <c r="B369" s="1" t="s">
        <v>55</v>
      </c>
      <c r="C369" s="1" t="s">
        <v>2056</v>
      </c>
      <c r="D369" s="1" t="s">
        <v>2</v>
      </c>
      <c r="E369" s="1">
        <v>33</v>
      </c>
      <c r="F369" s="1" t="s">
        <v>1289</v>
      </c>
      <c r="H369" s="1" t="s">
        <v>2947</v>
      </c>
      <c r="I369" s="1" t="s">
        <v>11</v>
      </c>
      <c r="J369" s="1" t="s">
        <v>1291</v>
      </c>
      <c r="K369" s="1" t="s">
        <v>1292</v>
      </c>
      <c r="L369" s="1" t="s">
        <v>1291</v>
      </c>
      <c r="N369" s="1" t="s">
        <v>2944</v>
      </c>
      <c r="P369" s="1" t="s">
        <v>1270</v>
      </c>
      <c r="Q369" s="1">
        <v>2007</v>
      </c>
      <c r="R369" s="1" t="s">
        <v>2945</v>
      </c>
      <c r="S369" s="1" t="s">
        <v>27</v>
      </c>
      <c r="T369" s="6">
        <v>1</v>
      </c>
      <c r="AH369" s="1">
        <v>12.98</v>
      </c>
      <c r="AK369" s="1">
        <v>1.9052005279999999</v>
      </c>
      <c r="AL369" s="1">
        <v>4.0294033779999996</v>
      </c>
      <c r="AM369" s="1">
        <v>5.7909958259999996</v>
      </c>
    </row>
    <row r="370" spans="1:153" x14ac:dyDescent="0.2">
      <c r="A370" s="1" t="s">
        <v>2948</v>
      </c>
      <c r="B370" s="1" t="s">
        <v>55</v>
      </c>
      <c r="C370" s="1" t="s">
        <v>2056</v>
      </c>
      <c r="D370" s="1" t="s">
        <v>2</v>
      </c>
      <c r="E370" s="1">
        <v>33</v>
      </c>
      <c r="F370" s="1" t="s">
        <v>1289</v>
      </c>
      <c r="H370" s="1" t="s">
        <v>2949</v>
      </c>
      <c r="I370" s="1" t="s">
        <v>11</v>
      </c>
      <c r="J370" s="1" t="s">
        <v>1291</v>
      </c>
      <c r="K370" s="1" t="s">
        <v>1292</v>
      </c>
      <c r="L370" s="1" t="s">
        <v>1291</v>
      </c>
      <c r="N370" s="1" t="s">
        <v>2944</v>
      </c>
      <c r="P370" s="1" t="s">
        <v>1270</v>
      </c>
      <c r="Q370" s="1">
        <v>2007</v>
      </c>
      <c r="R370" s="1" t="s">
        <v>2945</v>
      </c>
      <c r="S370" s="1" t="s">
        <v>27</v>
      </c>
      <c r="T370" s="6">
        <v>1</v>
      </c>
      <c r="AH370" s="1">
        <v>7.41</v>
      </c>
      <c r="AK370" s="1">
        <v>1.81450204</v>
      </c>
      <c r="AL370" s="1">
        <v>2.3595297049999999</v>
      </c>
      <c r="AM370" s="1">
        <v>2.1746942360000001</v>
      </c>
    </row>
    <row r="371" spans="1:153" x14ac:dyDescent="0.2">
      <c r="A371" s="1" t="s">
        <v>2950</v>
      </c>
      <c r="B371" s="1" t="s">
        <v>55</v>
      </c>
      <c r="C371" s="1" t="s">
        <v>2056</v>
      </c>
      <c r="D371" s="1" t="s">
        <v>2</v>
      </c>
      <c r="E371" s="1">
        <v>33</v>
      </c>
      <c r="F371" s="1" t="s">
        <v>1289</v>
      </c>
      <c r="H371" s="1" t="s">
        <v>2951</v>
      </c>
      <c r="I371" s="1" t="s">
        <v>11</v>
      </c>
      <c r="J371" s="1" t="s">
        <v>1291</v>
      </c>
      <c r="K371" s="1" t="s">
        <v>1292</v>
      </c>
      <c r="L371" s="1" t="s">
        <v>1291</v>
      </c>
      <c r="N371" s="1" t="s">
        <v>2944</v>
      </c>
      <c r="P371" s="1" t="s">
        <v>1270</v>
      </c>
      <c r="Q371" s="1">
        <v>2007</v>
      </c>
      <c r="R371" s="1" t="s">
        <v>2945</v>
      </c>
      <c r="S371" s="1" t="s">
        <v>27</v>
      </c>
      <c r="T371" s="6">
        <v>1</v>
      </c>
      <c r="AH371" s="1">
        <v>5.23</v>
      </c>
      <c r="AK371" s="1">
        <v>1.2196719250000001</v>
      </c>
      <c r="AL371" s="1">
        <v>1.628439642</v>
      </c>
      <c r="AM371" s="1">
        <v>1.5412863859999999</v>
      </c>
    </row>
    <row r="372" spans="1:153" x14ac:dyDescent="0.2">
      <c r="A372" s="1" t="s">
        <v>2952</v>
      </c>
      <c r="B372" s="1" t="s">
        <v>55</v>
      </c>
      <c r="C372" s="1" t="s">
        <v>2056</v>
      </c>
      <c r="D372" s="1" t="s">
        <v>2</v>
      </c>
      <c r="E372" s="1">
        <v>33</v>
      </c>
      <c r="F372" s="1" t="s">
        <v>1289</v>
      </c>
      <c r="H372" s="1" t="s">
        <v>2953</v>
      </c>
      <c r="I372" s="1" t="s">
        <v>11</v>
      </c>
      <c r="J372" s="1" t="s">
        <v>1291</v>
      </c>
      <c r="K372" s="1" t="s">
        <v>1292</v>
      </c>
      <c r="L372" s="1" t="s">
        <v>1291</v>
      </c>
      <c r="N372" s="1" t="s">
        <v>2944</v>
      </c>
      <c r="P372" s="1" t="s">
        <v>1270</v>
      </c>
      <c r="Q372" s="1">
        <v>2007</v>
      </c>
      <c r="R372" s="1" t="s">
        <v>2945</v>
      </c>
      <c r="S372" s="1" t="s">
        <v>27</v>
      </c>
      <c r="T372" s="6">
        <v>1</v>
      </c>
      <c r="AH372" s="1">
        <v>5.6</v>
      </c>
      <c r="AK372" s="1">
        <v>1.30500624</v>
      </c>
      <c r="AL372" s="1">
        <v>1.77761364</v>
      </c>
      <c r="AM372" s="1">
        <v>1.63837232</v>
      </c>
    </row>
    <row r="373" spans="1:153" x14ac:dyDescent="0.2">
      <c r="A373" s="1" t="s">
        <v>2954</v>
      </c>
      <c r="B373" s="1" t="s">
        <v>55</v>
      </c>
      <c r="C373" s="1" t="s">
        <v>2955</v>
      </c>
      <c r="D373" s="1" t="s">
        <v>2</v>
      </c>
      <c r="E373" s="1">
        <v>21</v>
      </c>
      <c r="F373" s="1" t="s">
        <v>2956</v>
      </c>
      <c r="H373" s="1" t="s">
        <v>2957</v>
      </c>
      <c r="I373" s="1" t="s">
        <v>7</v>
      </c>
      <c r="J373" s="1" t="s">
        <v>2958</v>
      </c>
      <c r="K373" s="1" t="s">
        <v>2959</v>
      </c>
      <c r="L373" s="1" t="s">
        <v>2960</v>
      </c>
      <c r="M373" s="1" t="s">
        <v>2961</v>
      </c>
      <c r="N373" s="1" t="s">
        <v>2962</v>
      </c>
      <c r="O373" s="1">
        <v>30</v>
      </c>
      <c r="Q373" s="1">
        <v>1996</v>
      </c>
      <c r="R373" s="1" t="s">
        <v>2963</v>
      </c>
      <c r="S373" s="1" t="s">
        <v>27</v>
      </c>
      <c r="T373" s="6">
        <v>1</v>
      </c>
      <c r="V373" s="1">
        <v>609</v>
      </c>
      <c r="W373" s="1">
        <v>146</v>
      </c>
      <c r="Z373" s="1">
        <v>72.489999999999995</v>
      </c>
      <c r="AA373" s="1">
        <v>6.25</v>
      </c>
      <c r="AC373" s="1">
        <v>19.23</v>
      </c>
      <c r="AH373" s="1">
        <v>7.63</v>
      </c>
      <c r="AK373" s="1">
        <v>1.762</v>
      </c>
      <c r="AL373" s="1">
        <v>3.1150000000000002</v>
      </c>
      <c r="AM373" s="1">
        <v>1.458</v>
      </c>
      <c r="AN373" s="1">
        <v>0.10100000000000001</v>
      </c>
      <c r="AV373" s="1">
        <v>1.0900000000000001</v>
      </c>
      <c r="AY373" s="1">
        <v>18.100000000000001</v>
      </c>
      <c r="BF373" s="1">
        <v>0.53</v>
      </c>
      <c r="BH373" s="1">
        <v>330</v>
      </c>
      <c r="BJ373" s="1">
        <v>46.8</v>
      </c>
      <c r="BM373" s="1">
        <v>44.4</v>
      </c>
      <c r="BP373" s="1">
        <v>239</v>
      </c>
      <c r="BW373" s="1">
        <v>0.84</v>
      </c>
      <c r="DD373" s="1">
        <v>5.62</v>
      </c>
      <c r="DE373" s="1">
        <v>0.76</v>
      </c>
      <c r="DI373" s="1">
        <v>0.44</v>
      </c>
      <c r="DM373" s="1">
        <v>1.27</v>
      </c>
      <c r="DU373" s="1">
        <v>1100</v>
      </c>
      <c r="DV373" s="1">
        <v>1160</v>
      </c>
      <c r="DX373" s="1">
        <v>1920</v>
      </c>
      <c r="DY373" s="1">
        <v>190</v>
      </c>
      <c r="EA373" s="1">
        <v>2780</v>
      </c>
      <c r="EB373" s="1">
        <v>1030</v>
      </c>
      <c r="EC373" s="1">
        <v>820</v>
      </c>
      <c r="EE373" s="1">
        <v>81.400000000000006</v>
      </c>
      <c r="EF373" s="1">
        <v>920</v>
      </c>
      <c r="EG373" s="1">
        <v>1460</v>
      </c>
      <c r="EH373" s="1">
        <v>1750</v>
      </c>
      <c r="EI373" s="1">
        <v>560</v>
      </c>
      <c r="EK373" s="1">
        <v>790</v>
      </c>
      <c r="EL373" s="1">
        <v>770</v>
      </c>
      <c r="EM373" s="1">
        <v>750</v>
      </c>
      <c r="EO373" s="1">
        <v>830</v>
      </c>
      <c r="EP373" s="1">
        <v>140</v>
      </c>
      <c r="EQ373" s="1">
        <v>650</v>
      </c>
      <c r="ER373" s="1">
        <v>960</v>
      </c>
      <c r="EW373" s="1">
        <v>66</v>
      </c>
    </row>
    <row r="374" spans="1:153" x14ac:dyDescent="0.2">
      <c r="A374" s="1" t="s">
        <v>2964</v>
      </c>
      <c r="B374" s="1" t="s">
        <v>55</v>
      </c>
      <c r="C374" s="1" t="s">
        <v>2965</v>
      </c>
      <c r="D374" s="1" t="s">
        <v>2</v>
      </c>
      <c r="E374" s="1">
        <v>33</v>
      </c>
      <c r="F374" s="1" t="s">
        <v>1298</v>
      </c>
      <c r="H374" s="1" t="s">
        <v>2966</v>
      </c>
      <c r="I374" s="1" t="s">
        <v>7</v>
      </c>
      <c r="J374" s="1" t="s">
        <v>1300</v>
      </c>
      <c r="K374" s="1" t="s">
        <v>1301</v>
      </c>
      <c r="L374" s="1" t="s">
        <v>1300</v>
      </c>
      <c r="M374" s="1" t="s">
        <v>2967</v>
      </c>
      <c r="N374" s="1" t="s">
        <v>2968</v>
      </c>
      <c r="P374" s="1" t="s">
        <v>2969</v>
      </c>
      <c r="Q374" s="1">
        <v>2002</v>
      </c>
      <c r="R374" s="1" t="s">
        <v>2970</v>
      </c>
      <c r="S374" s="1" t="s">
        <v>27</v>
      </c>
      <c r="T374" s="6">
        <v>1</v>
      </c>
      <c r="Z374" s="1">
        <v>71.2</v>
      </c>
      <c r="AA374" s="1">
        <v>6.25</v>
      </c>
      <c r="AC374" s="1">
        <v>18.079999999999998</v>
      </c>
      <c r="AJ374" s="1">
        <v>9.8000000000000007</v>
      </c>
      <c r="AV374" s="1">
        <v>1.36</v>
      </c>
    </row>
    <row r="375" spans="1:153" x14ac:dyDescent="0.2">
      <c r="A375" s="1" t="s">
        <v>2971</v>
      </c>
      <c r="B375" s="1" t="s">
        <v>55</v>
      </c>
      <c r="C375" s="1" t="s">
        <v>2965</v>
      </c>
      <c r="D375" s="1" t="s">
        <v>2</v>
      </c>
      <c r="E375" s="1">
        <v>33</v>
      </c>
      <c r="F375" s="1" t="s">
        <v>1298</v>
      </c>
      <c r="H375" s="1" t="s">
        <v>2966</v>
      </c>
      <c r="I375" s="1" t="s">
        <v>7</v>
      </c>
      <c r="J375" s="1" t="s">
        <v>1300</v>
      </c>
      <c r="K375" s="1" t="s">
        <v>1301</v>
      </c>
      <c r="L375" s="1" t="s">
        <v>1300</v>
      </c>
      <c r="M375" s="1" t="s">
        <v>749</v>
      </c>
      <c r="N375" s="1" t="s">
        <v>2972</v>
      </c>
      <c r="P375" s="1" t="s">
        <v>2969</v>
      </c>
      <c r="Q375" s="1">
        <v>2002</v>
      </c>
      <c r="R375" s="1" t="s">
        <v>2970</v>
      </c>
      <c r="S375" s="1" t="s">
        <v>27</v>
      </c>
      <c r="T375" s="6">
        <v>1</v>
      </c>
      <c r="Z375" s="1">
        <v>74.739999999999995</v>
      </c>
      <c r="AA375" s="1">
        <v>6.25</v>
      </c>
      <c r="AC375" s="1">
        <v>17.989999999999998</v>
      </c>
      <c r="AJ375" s="1">
        <v>6.53</v>
      </c>
      <c r="AV375" s="1">
        <v>1.53</v>
      </c>
    </row>
    <row r="376" spans="1:153" x14ac:dyDescent="0.2">
      <c r="A376" s="1" t="s">
        <v>2973</v>
      </c>
      <c r="B376" s="1" t="s">
        <v>55</v>
      </c>
      <c r="C376" s="1" t="s">
        <v>2965</v>
      </c>
      <c r="D376" s="1" t="s">
        <v>2</v>
      </c>
      <c r="E376" s="1">
        <v>33</v>
      </c>
      <c r="F376" s="1" t="s">
        <v>1298</v>
      </c>
      <c r="H376" s="1" t="s">
        <v>2966</v>
      </c>
      <c r="I376" s="1" t="s">
        <v>7</v>
      </c>
      <c r="J376" s="1" t="s">
        <v>1300</v>
      </c>
      <c r="K376" s="1" t="s">
        <v>1301</v>
      </c>
      <c r="L376" s="1" t="s">
        <v>1300</v>
      </c>
      <c r="M376" s="1" t="s">
        <v>2974</v>
      </c>
      <c r="N376" s="1" t="s">
        <v>2975</v>
      </c>
      <c r="P376" s="1" t="s">
        <v>2969</v>
      </c>
      <c r="Q376" s="1">
        <v>2002</v>
      </c>
      <c r="R376" s="1" t="s">
        <v>2970</v>
      </c>
      <c r="S376" s="1" t="s">
        <v>27</v>
      </c>
      <c r="T376" s="6">
        <v>1</v>
      </c>
      <c r="Z376" s="1">
        <v>69.91</v>
      </c>
      <c r="AA376" s="1">
        <v>6.25</v>
      </c>
      <c r="AC376" s="1">
        <v>18.25</v>
      </c>
      <c r="AJ376" s="1">
        <v>10.37</v>
      </c>
      <c r="AV376" s="1">
        <v>1.22</v>
      </c>
    </row>
    <row r="377" spans="1:153" x14ac:dyDescent="0.2">
      <c r="A377" s="1" t="s">
        <v>2976</v>
      </c>
      <c r="B377" s="1" t="s">
        <v>55</v>
      </c>
      <c r="C377" s="1" t="s">
        <v>2584</v>
      </c>
      <c r="D377" s="1" t="s">
        <v>2</v>
      </c>
      <c r="E377" s="1">
        <v>23</v>
      </c>
      <c r="F377" s="1" t="s">
        <v>1735</v>
      </c>
      <c r="H377" s="1" t="s">
        <v>2977</v>
      </c>
      <c r="I377" s="1" t="s">
        <v>7</v>
      </c>
      <c r="J377" s="1" t="s">
        <v>1738</v>
      </c>
      <c r="K377" s="1" t="s">
        <v>1739</v>
      </c>
      <c r="L377" s="1" t="s">
        <v>1738</v>
      </c>
      <c r="P377" s="1" t="s">
        <v>2978</v>
      </c>
      <c r="Q377" s="1">
        <v>2007</v>
      </c>
      <c r="R377" s="1" t="s">
        <v>2979</v>
      </c>
      <c r="S377" s="1" t="s">
        <v>27</v>
      </c>
      <c r="T377" s="6">
        <v>1</v>
      </c>
      <c r="Z377" s="1">
        <v>64.099999999999994</v>
      </c>
    </row>
    <row r="378" spans="1:153" x14ac:dyDescent="0.2">
      <c r="A378" s="1" t="s">
        <v>2980</v>
      </c>
      <c r="B378" s="1" t="s">
        <v>55</v>
      </c>
      <c r="C378" s="1" t="s">
        <v>2584</v>
      </c>
      <c r="D378" s="1" t="s">
        <v>2</v>
      </c>
      <c r="E378" s="1">
        <v>23</v>
      </c>
      <c r="F378" s="1" t="s">
        <v>1735</v>
      </c>
      <c r="H378" s="1" t="s">
        <v>2981</v>
      </c>
      <c r="I378" s="1" t="s">
        <v>11</v>
      </c>
      <c r="J378" s="1" t="s">
        <v>1738</v>
      </c>
      <c r="K378" s="1" t="s">
        <v>1739</v>
      </c>
      <c r="L378" s="1" t="s">
        <v>1738</v>
      </c>
      <c r="N378" s="1" t="s">
        <v>2982</v>
      </c>
      <c r="P378" s="1" t="s">
        <v>2978</v>
      </c>
      <c r="Q378" s="1">
        <v>2007</v>
      </c>
      <c r="R378" s="1" t="s">
        <v>2979</v>
      </c>
      <c r="S378" s="1" t="s">
        <v>27</v>
      </c>
      <c r="T378" s="6">
        <v>1</v>
      </c>
      <c r="Z378" s="1">
        <v>64.599999999999994</v>
      </c>
    </row>
    <row r="379" spans="1:153" x14ac:dyDescent="0.2">
      <c r="A379" s="1" t="s">
        <v>2983</v>
      </c>
      <c r="B379" s="1" t="s">
        <v>55</v>
      </c>
      <c r="C379" s="1" t="s">
        <v>2584</v>
      </c>
      <c r="D379" s="1" t="s">
        <v>2</v>
      </c>
      <c r="E379" s="1">
        <v>23</v>
      </c>
      <c r="F379" s="1" t="s">
        <v>1735</v>
      </c>
      <c r="H379" s="1" t="s">
        <v>2984</v>
      </c>
      <c r="I379" s="1" t="s">
        <v>11</v>
      </c>
      <c r="J379" s="1" t="s">
        <v>1738</v>
      </c>
      <c r="K379" s="1" t="s">
        <v>1739</v>
      </c>
      <c r="L379" s="1" t="s">
        <v>1738</v>
      </c>
      <c r="N379" s="1" t="s">
        <v>2985</v>
      </c>
      <c r="P379" s="1" t="s">
        <v>2978</v>
      </c>
      <c r="Q379" s="1">
        <v>2007</v>
      </c>
      <c r="R379" s="1" t="s">
        <v>2979</v>
      </c>
      <c r="S379" s="1" t="s">
        <v>27</v>
      </c>
      <c r="T379" s="6">
        <v>1</v>
      </c>
      <c r="Z379" s="1">
        <v>61.3</v>
      </c>
    </row>
    <row r="380" spans="1:153" x14ac:dyDescent="0.2">
      <c r="A380" s="1" t="s">
        <v>2986</v>
      </c>
      <c r="B380" s="1" t="s">
        <v>55</v>
      </c>
      <c r="C380" s="1" t="s">
        <v>2987</v>
      </c>
      <c r="D380" s="1" t="s">
        <v>2</v>
      </c>
      <c r="E380" s="1">
        <v>23</v>
      </c>
      <c r="F380" s="1" t="s">
        <v>1735</v>
      </c>
      <c r="H380" s="1" t="s">
        <v>2977</v>
      </c>
      <c r="I380" s="1" t="s">
        <v>7</v>
      </c>
      <c r="J380" s="1" t="s">
        <v>1738</v>
      </c>
      <c r="K380" s="1" t="s">
        <v>1739</v>
      </c>
      <c r="L380" s="1" t="s">
        <v>1738</v>
      </c>
      <c r="P380" s="1" t="s">
        <v>2978</v>
      </c>
      <c r="Q380" s="1">
        <v>2007</v>
      </c>
      <c r="R380" s="1" t="s">
        <v>2979</v>
      </c>
      <c r="S380" s="1" t="s">
        <v>27</v>
      </c>
      <c r="T380" s="6">
        <v>1</v>
      </c>
      <c r="Z380" s="1">
        <v>73.599999999999994</v>
      </c>
    </row>
    <row r="381" spans="1:153" x14ac:dyDescent="0.2">
      <c r="A381" s="1" t="s">
        <v>2988</v>
      </c>
      <c r="B381" s="1" t="s">
        <v>55</v>
      </c>
      <c r="C381" s="1" t="s">
        <v>2987</v>
      </c>
      <c r="D381" s="1" t="s">
        <v>2</v>
      </c>
      <c r="E381" s="1">
        <v>23</v>
      </c>
      <c r="F381" s="1" t="s">
        <v>1735</v>
      </c>
      <c r="H381" s="1" t="s">
        <v>2981</v>
      </c>
      <c r="I381" s="1" t="s">
        <v>11</v>
      </c>
      <c r="J381" s="1" t="s">
        <v>1738</v>
      </c>
      <c r="K381" s="1" t="s">
        <v>1739</v>
      </c>
      <c r="L381" s="1" t="s">
        <v>1738</v>
      </c>
      <c r="N381" s="1" t="s">
        <v>2989</v>
      </c>
      <c r="P381" s="1" t="s">
        <v>2978</v>
      </c>
      <c r="Q381" s="1">
        <v>2007</v>
      </c>
      <c r="R381" s="1" t="s">
        <v>2979</v>
      </c>
      <c r="S381" s="1" t="s">
        <v>27</v>
      </c>
      <c r="T381" s="6">
        <v>1</v>
      </c>
      <c r="Z381" s="1">
        <v>68.3</v>
      </c>
    </row>
    <row r="382" spans="1:153" x14ac:dyDescent="0.2">
      <c r="A382" s="1" t="s">
        <v>2990</v>
      </c>
      <c r="B382" s="1" t="s">
        <v>55</v>
      </c>
      <c r="C382" s="1" t="s">
        <v>2987</v>
      </c>
      <c r="D382" s="1" t="s">
        <v>2</v>
      </c>
      <c r="E382" s="1">
        <v>23</v>
      </c>
      <c r="F382" s="1" t="s">
        <v>1735</v>
      </c>
      <c r="H382" s="1" t="s">
        <v>2984</v>
      </c>
      <c r="I382" s="1" t="s">
        <v>11</v>
      </c>
      <c r="J382" s="1" t="s">
        <v>1738</v>
      </c>
      <c r="K382" s="1" t="s">
        <v>1739</v>
      </c>
      <c r="L382" s="1" t="s">
        <v>1738</v>
      </c>
      <c r="N382" s="1" t="s">
        <v>2985</v>
      </c>
      <c r="P382" s="1" t="s">
        <v>2978</v>
      </c>
      <c r="Q382" s="1">
        <v>2007</v>
      </c>
      <c r="R382" s="1" t="s">
        <v>2979</v>
      </c>
      <c r="S382" s="1" t="s">
        <v>27</v>
      </c>
      <c r="T382" s="6">
        <v>1</v>
      </c>
      <c r="Z382" s="1">
        <v>65.900000000000006</v>
      </c>
    </row>
    <row r="383" spans="1:153" x14ac:dyDescent="0.2">
      <c r="A383" s="1" t="s">
        <v>2991</v>
      </c>
      <c r="B383" s="1" t="s">
        <v>55</v>
      </c>
      <c r="C383" s="1" t="s">
        <v>2992</v>
      </c>
      <c r="D383" s="1" t="s">
        <v>2</v>
      </c>
      <c r="E383" s="1">
        <v>37</v>
      </c>
      <c r="F383" s="1" t="s">
        <v>2246</v>
      </c>
      <c r="H383" s="1" t="s">
        <v>2993</v>
      </c>
      <c r="I383" s="1" t="s">
        <v>7</v>
      </c>
      <c r="J383" s="1" t="s">
        <v>2248</v>
      </c>
      <c r="K383" s="1" t="s">
        <v>2249</v>
      </c>
      <c r="L383" s="1" t="s">
        <v>2248</v>
      </c>
      <c r="M383" s="1" t="s">
        <v>2994</v>
      </c>
      <c r="O383" s="1">
        <v>3</v>
      </c>
      <c r="Q383" s="1">
        <v>2009</v>
      </c>
      <c r="R383" s="1" t="s">
        <v>2995</v>
      </c>
      <c r="S383" s="1" t="s">
        <v>27</v>
      </c>
      <c r="T383" s="6">
        <v>1</v>
      </c>
      <c r="Z383" s="1">
        <v>70.099999999999994</v>
      </c>
      <c r="AA383" s="1">
        <v>6.25</v>
      </c>
      <c r="AC383" s="1">
        <v>23.5</v>
      </c>
      <c r="AH383" s="1">
        <v>6</v>
      </c>
      <c r="AV383" s="1">
        <v>1.5</v>
      </c>
    </row>
    <row r="384" spans="1:153" x14ac:dyDescent="0.2">
      <c r="A384" s="1" t="s">
        <v>2996</v>
      </c>
      <c r="B384" s="1" t="s">
        <v>55</v>
      </c>
      <c r="C384" s="1" t="s">
        <v>2992</v>
      </c>
      <c r="D384" s="1" t="s">
        <v>2</v>
      </c>
      <c r="E384" s="1">
        <v>37</v>
      </c>
      <c r="F384" s="1" t="s">
        <v>2246</v>
      </c>
      <c r="H384" s="1" t="s">
        <v>2993</v>
      </c>
      <c r="I384" s="1" t="s">
        <v>7</v>
      </c>
      <c r="J384" s="1" t="s">
        <v>2248</v>
      </c>
      <c r="K384" s="1" t="s">
        <v>2249</v>
      </c>
      <c r="L384" s="1" t="s">
        <v>2248</v>
      </c>
      <c r="M384" s="1" t="s">
        <v>2997</v>
      </c>
      <c r="O384" s="1">
        <v>3</v>
      </c>
      <c r="Q384" s="1">
        <v>2009</v>
      </c>
      <c r="R384" s="1" t="s">
        <v>2995</v>
      </c>
      <c r="S384" s="1" t="s">
        <v>27</v>
      </c>
      <c r="T384" s="6">
        <v>1</v>
      </c>
      <c r="Z384" s="1">
        <v>72</v>
      </c>
      <c r="AA384" s="1">
        <v>6.25</v>
      </c>
      <c r="AC384" s="1">
        <v>22.3</v>
      </c>
      <c r="AH384" s="1">
        <v>4.9000000000000004</v>
      </c>
      <c r="AV384" s="1">
        <v>1.5</v>
      </c>
    </row>
    <row r="385" spans="1:155" x14ac:dyDescent="0.2">
      <c r="A385" s="1" t="s">
        <v>2998</v>
      </c>
      <c r="B385" s="1" t="s">
        <v>55</v>
      </c>
      <c r="C385" s="1" t="s">
        <v>2992</v>
      </c>
      <c r="D385" s="1" t="s">
        <v>2</v>
      </c>
      <c r="E385" s="1">
        <v>37</v>
      </c>
      <c r="F385" s="1" t="s">
        <v>2246</v>
      </c>
      <c r="H385" s="1" t="s">
        <v>2993</v>
      </c>
      <c r="I385" s="1" t="s">
        <v>7</v>
      </c>
      <c r="J385" s="1" t="s">
        <v>2248</v>
      </c>
      <c r="K385" s="1" t="s">
        <v>2249</v>
      </c>
      <c r="L385" s="1" t="s">
        <v>2248</v>
      </c>
      <c r="M385" s="1" t="s">
        <v>2999</v>
      </c>
      <c r="O385" s="1">
        <v>3</v>
      </c>
      <c r="Q385" s="1">
        <v>2009</v>
      </c>
      <c r="R385" s="1" t="s">
        <v>2995</v>
      </c>
      <c r="S385" s="1" t="s">
        <v>27</v>
      </c>
      <c r="T385" s="6">
        <v>1</v>
      </c>
      <c r="Z385" s="1">
        <v>68.5</v>
      </c>
      <c r="AA385" s="1">
        <v>6.25</v>
      </c>
      <c r="AC385" s="1">
        <v>23.3</v>
      </c>
      <c r="AH385" s="1">
        <v>7.7</v>
      </c>
      <c r="AV385" s="1">
        <v>1.5</v>
      </c>
    </row>
    <row r="386" spans="1:155" x14ac:dyDescent="0.2">
      <c r="A386" s="1" t="s">
        <v>3000</v>
      </c>
      <c r="B386" s="1" t="s">
        <v>55</v>
      </c>
      <c r="C386" s="1" t="s">
        <v>2992</v>
      </c>
      <c r="D386" s="1" t="s">
        <v>2</v>
      </c>
      <c r="E386" s="1">
        <v>37</v>
      </c>
      <c r="F386" s="1" t="s">
        <v>2246</v>
      </c>
      <c r="H386" s="1" t="s">
        <v>2993</v>
      </c>
      <c r="I386" s="1" t="s">
        <v>7</v>
      </c>
      <c r="J386" s="1" t="s">
        <v>2248</v>
      </c>
      <c r="K386" s="1" t="s">
        <v>2249</v>
      </c>
      <c r="L386" s="1" t="s">
        <v>2248</v>
      </c>
      <c r="M386" s="1" t="s">
        <v>3001</v>
      </c>
      <c r="O386" s="1">
        <v>3</v>
      </c>
      <c r="Q386" s="1">
        <v>2009</v>
      </c>
      <c r="R386" s="1" t="s">
        <v>2995</v>
      </c>
      <c r="S386" s="1" t="s">
        <v>27</v>
      </c>
      <c r="T386" s="6">
        <v>1</v>
      </c>
      <c r="Z386" s="1">
        <v>70.099999999999994</v>
      </c>
      <c r="AA386" s="1">
        <v>6.25</v>
      </c>
      <c r="AC386" s="1">
        <v>23.5</v>
      </c>
      <c r="AH386" s="1">
        <v>6.3</v>
      </c>
      <c r="AV386" s="1">
        <v>1.4</v>
      </c>
    </row>
    <row r="387" spans="1:155" x14ac:dyDescent="0.2">
      <c r="A387" s="1" t="s">
        <v>3002</v>
      </c>
      <c r="B387" s="1" t="s">
        <v>55</v>
      </c>
      <c r="C387" s="1" t="s">
        <v>2992</v>
      </c>
      <c r="D387" s="1" t="s">
        <v>2</v>
      </c>
      <c r="E387" s="1">
        <v>37</v>
      </c>
      <c r="F387" s="1" t="s">
        <v>2246</v>
      </c>
      <c r="H387" s="1" t="s">
        <v>2993</v>
      </c>
      <c r="I387" s="1" t="s">
        <v>7</v>
      </c>
      <c r="J387" s="1" t="s">
        <v>2248</v>
      </c>
      <c r="K387" s="1" t="s">
        <v>2249</v>
      </c>
      <c r="L387" s="1" t="s">
        <v>2248</v>
      </c>
      <c r="M387" s="1" t="s">
        <v>3003</v>
      </c>
      <c r="O387" s="1">
        <v>3</v>
      </c>
      <c r="Q387" s="1">
        <v>2009</v>
      </c>
      <c r="R387" s="1" t="s">
        <v>2995</v>
      </c>
      <c r="S387" s="1" t="s">
        <v>27</v>
      </c>
      <c r="T387" s="6">
        <v>1</v>
      </c>
      <c r="Z387" s="1">
        <v>71.900000000000006</v>
      </c>
      <c r="AA387" s="1">
        <v>6.25</v>
      </c>
      <c r="AC387" s="1">
        <v>23</v>
      </c>
      <c r="AH387" s="1">
        <v>4.5999999999999996</v>
      </c>
      <c r="AV387" s="1">
        <v>1.5</v>
      </c>
    </row>
    <row r="388" spans="1:155" x14ac:dyDescent="0.2">
      <c r="A388" s="1" t="s">
        <v>3004</v>
      </c>
      <c r="B388" s="1" t="s">
        <v>55</v>
      </c>
      <c r="C388" s="1" t="s">
        <v>2992</v>
      </c>
      <c r="D388" s="1" t="s">
        <v>2</v>
      </c>
      <c r="E388" s="1">
        <v>37</v>
      </c>
      <c r="F388" s="1" t="s">
        <v>2246</v>
      </c>
      <c r="H388" s="1" t="s">
        <v>2993</v>
      </c>
      <c r="I388" s="1" t="s">
        <v>7</v>
      </c>
      <c r="J388" s="1" t="s">
        <v>2248</v>
      </c>
      <c r="K388" s="1" t="s">
        <v>2249</v>
      </c>
      <c r="L388" s="1" t="s">
        <v>2248</v>
      </c>
      <c r="M388" s="1" t="s">
        <v>3005</v>
      </c>
      <c r="O388" s="1">
        <v>3</v>
      </c>
      <c r="Q388" s="1">
        <v>2009</v>
      </c>
      <c r="R388" s="1" t="s">
        <v>2995</v>
      </c>
      <c r="S388" s="1" t="s">
        <v>27</v>
      </c>
      <c r="T388" s="6">
        <v>1</v>
      </c>
      <c r="Z388" s="1">
        <v>72.7</v>
      </c>
      <c r="AA388" s="1">
        <v>6.25</v>
      </c>
      <c r="AC388" s="1">
        <v>23.2</v>
      </c>
      <c r="AH388" s="1">
        <v>3.8</v>
      </c>
      <c r="AV388" s="1">
        <v>1.5</v>
      </c>
    </row>
    <row r="389" spans="1:155" x14ac:dyDescent="0.2">
      <c r="A389" s="1" t="s">
        <v>3006</v>
      </c>
      <c r="B389" s="1" t="s">
        <v>55</v>
      </c>
      <c r="C389" s="1" t="s">
        <v>2992</v>
      </c>
      <c r="D389" s="1" t="s">
        <v>2</v>
      </c>
      <c r="E389" s="1">
        <v>37</v>
      </c>
      <c r="F389" s="1" t="s">
        <v>2246</v>
      </c>
      <c r="H389" s="1" t="s">
        <v>2993</v>
      </c>
      <c r="I389" s="1" t="s">
        <v>7</v>
      </c>
      <c r="J389" s="1" t="s">
        <v>2248</v>
      </c>
      <c r="K389" s="1" t="s">
        <v>2249</v>
      </c>
      <c r="L389" s="1" t="s">
        <v>2248</v>
      </c>
      <c r="M389" s="1" t="s">
        <v>3007</v>
      </c>
      <c r="O389" s="1">
        <v>3</v>
      </c>
      <c r="Q389" s="1">
        <v>2009</v>
      </c>
      <c r="R389" s="1" t="s">
        <v>2995</v>
      </c>
      <c r="S389" s="1" t="s">
        <v>27</v>
      </c>
      <c r="T389" s="6">
        <v>1</v>
      </c>
      <c r="Z389" s="1">
        <v>72.8</v>
      </c>
      <c r="AA389" s="1">
        <v>6.25</v>
      </c>
      <c r="AC389" s="1">
        <v>23.4</v>
      </c>
      <c r="AH389" s="1">
        <v>3.5</v>
      </c>
      <c r="AV389" s="1">
        <v>1.5</v>
      </c>
    </row>
    <row r="390" spans="1:155" x14ac:dyDescent="0.2">
      <c r="A390" s="1" t="s">
        <v>3008</v>
      </c>
      <c r="B390" s="1" t="s">
        <v>55</v>
      </c>
      <c r="C390" s="1" t="s">
        <v>2992</v>
      </c>
      <c r="D390" s="1" t="s">
        <v>2</v>
      </c>
      <c r="E390" s="1">
        <v>37</v>
      </c>
      <c r="F390" s="1" t="s">
        <v>2246</v>
      </c>
      <c r="H390" s="1" t="s">
        <v>2993</v>
      </c>
      <c r="I390" s="1" t="s">
        <v>7</v>
      </c>
      <c r="J390" s="1" t="s">
        <v>2248</v>
      </c>
      <c r="K390" s="1" t="s">
        <v>2249</v>
      </c>
      <c r="L390" s="1" t="s">
        <v>2248</v>
      </c>
      <c r="M390" s="1" t="s">
        <v>3009</v>
      </c>
      <c r="O390" s="1">
        <v>3</v>
      </c>
      <c r="Q390" s="1">
        <v>2009</v>
      </c>
      <c r="R390" s="1" t="s">
        <v>2995</v>
      </c>
      <c r="S390" s="1" t="s">
        <v>27</v>
      </c>
      <c r="T390" s="6">
        <v>1</v>
      </c>
      <c r="Z390" s="1">
        <v>73.8</v>
      </c>
      <c r="AA390" s="1">
        <v>6.25</v>
      </c>
      <c r="AC390" s="1">
        <v>23.2</v>
      </c>
      <c r="AH390" s="1">
        <v>2.9</v>
      </c>
      <c r="AV390" s="1">
        <v>1.5</v>
      </c>
    </row>
    <row r="391" spans="1:155" x14ac:dyDescent="0.2">
      <c r="A391" s="1" t="s">
        <v>3010</v>
      </c>
      <c r="B391" s="1" t="s">
        <v>55</v>
      </c>
      <c r="C391" s="1" t="s">
        <v>2992</v>
      </c>
      <c r="D391" s="1" t="s">
        <v>2</v>
      </c>
      <c r="E391" s="1">
        <v>37</v>
      </c>
      <c r="F391" s="1" t="s">
        <v>2246</v>
      </c>
      <c r="H391" s="1" t="s">
        <v>2993</v>
      </c>
      <c r="I391" s="1" t="s">
        <v>7</v>
      </c>
      <c r="J391" s="1" t="s">
        <v>2248</v>
      </c>
      <c r="K391" s="1" t="s">
        <v>2249</v>
      </c>
      <c r="L391" s="1" t="s">
        <v>2248</v>
      </c>
      <c r="M391" s="1" t="s">
        <v>3011</v>
      </c>
      <c r="O391" s="1">
        <v>3</v>
      </c>
      <c r="Q391" s="1">
        <v>2009</v>
      </c>
      <c r="R391" s="1" t="s">
        <v>2995</v>
      </c>
      <c r="S391" s="1" t="s">
        <v>27</v>
      </c>
      <c r="T391" s="6">
        <v>1</v>
      </c>
      <c r="Z391" s="1">
        <v>72.2</v>
      </c>
      <c r="AA391" s="1">
        <v>6.25</v>
      </c>
      <c r="AC391" s="1">
        <v>23.9</v>
      </c>
      <c r="AH391" s="1">
        <v>3.2</v>
      </c>
      <c r="AV391" s="1">
        <v>1.5</v>
      </c>
    </row>
    <row r="392" spans="1:155" x14ac:dyDescent="0.2">
      <c r="A392" s="1" t="s">
        <v>3012</v>
      </c>
      <c r="B392" s="1" t="s">
        <v>55</v>
      </c>
      <c r="C392" s="1" t="s">
        <v>2992</v>
      </c>
      <c r="D392" s="1" t="s">
        <v>2</v>
      </c>
      <c r="E392" s="1">
        <v>37</v>
      </c>
      <c r="F392" s="1" t="s">
        <v>2246</v>
      </c>
      <c r="H392" s="1" t="s">
        <v>2993</v>
      </c>
      <c r="I392" s="1" t="s">
        <v>7</v>
      </c>
      <c r="J392" s="1" t="s">
        <v>2248</v>
      </c>
      <c r="K392" s="1" t="s">
        <v>2249</v>
      </c>
      <c r="L392" s="1" t="s">
        <v>2248</v>
      </c>
      <c r="M392" s="1" t="s">
        <v>3013</v>
      </c>
      <c r="O392" s="1">
        <v>3</v>
      </c>
      <c r="Q392" s="1">
        <v>2009</v>
      </c>
      <c r="R392" s="1" t="s">
        <v>2995</v>
      </c>
      <c r="S392" s="1" t="s">
        <v>27</v>
      </c>
      <c r="T392" s="6">
        <v>1</v>
      </c>
      <c r="Z392" s="1">
        <v>71</v>
      </c>
      <c r="AA392" s="1">
        <v>6.25</v>
      </c>
      <c r="AC392" s="1">
        <v>22.8</v>
      </c>
      <c r="AH392" s="1">
        <v>4.9000000000000004</v>
      </c>
      <c r="AV392" s="1">
        <v>1.5</v>
      </c>
    </row>
    <row r="393" spans="1:155" x14ac:dyDescent="0.2">
      <c r="A393" s="1" t="s">
        <v>3014</v>
      </c>
      <c r="B393" s="1" t="s">
        <v>55</v>
      </c>
      <c r="C393" s="1" t="s">
        <v>3015</v>
      </c>
      <c r="E393" s="1">
        <v>36</v>
      </c>
      <c r="F393" s="1" t="s">
        <v>3016</v>
      </c>
      <c r="H393" s="1" t="s">
        <v>3017</v>
      </c>
      <c r="I393" s="1" t="s">
        <v>7</v>
      </c>
      <c r="J393" s="1" t="s">
        <v>3018</v>
      </c>
      <c r="K393" s="1" t="s">
        <v>3019</v>
      </c>
      <c r="L393" s="1" t="s">
        <v>3018</v>
      </c>
      <c r="N393" s="1" t="s">
        <v>3020</v>
      </c>
      <c r="O393" s="1">
        <v>1</v>
      </c>
      <c r="P393" s="1" t="s">
        <v>3021</v>
      </c>
      <c r="Q393" s="1">
        <v>2010</v>
      </c>
      <c r="R393" s="1" t="s">
        <v>3022</v>
      </c>
      <c r="S393" s="1" t="s">
        <v>27</v>
      </c>
      <c r="T393" s="6">
        <v>1</v>
      </c>
      <c r="Z393" s="1">
        <v>71.8</v>
      </c>
      <c r="AH393" s="1">
        <v>2.6789999999999998</v>
      </c>
      <c r="AK393" s="1">
        <v>0.36472241253341797</v>
      </c>
      <c r="AL393" s="1">
        <v>0.43315621462735698</v>
      </c>
      <c r="AM393" s="1">
        <v>1.3630768406009699</v>
      </c>
      <c r="AN393" s="1">
        <v>0.195551532238258</v>
      </c>
      <c r="EY393" s="1">
        <v>82.22</v>
      </c>
    </row>
    <row r="394" spans="1:155" x14ac:dyDescent="0.2">
      <c r="A394" s="1" t="s">
        <v>3023</v>
      </c>
      <c r="B394" s="1" t="s">
        <v>55</v>
      </c>
      <c r="C394" s="1" t="s">
        <v>3015</v>
      </c>
      <c r="E394" s="1">
        <v>36</v>
      </c>
      <c r="F394" s="1" t="s">
        <v>3016</v>
      </c>
      <c r="H394" s="1" t="s">
        <v>3024</v>
      </c>
      <c r="I394" s="1" t="s">
        <v>11</v>
      </c>
      <c r="J394" s="1" t="s">
        <v>3018</v>
      </c>
      <c r="K394" s="1" t="s">
        <v>3019</v>
      </c>
      <c r="L394" s="1" t="s">
        <v>3018</v>
      </c>
      <c r="N394" s="1" t="s">
        <v>3025</v>
      </c>
      <c r="O394" s="1">
        <v>1</v>
      </c>
      <c r="P394" s="1" t="s">
        <v>3021</v>
      </c>
      <c r="Q394" s="1">
        <v>2010</v>
      </c>
      <c r="R394" s="1" t="s">
        <v>3022</v>
      </c>
      <c r="S394" s="1" t="s">
        <v>27</v>
      </c>
      <c r="T394" s="6">
        <v>1</v>
      </c>
      <c r="Z394" s="1">
        <v>68.8</v>
      </c>
      <c r="AH394" s="1">
        <v>4.056</v>
      </c>
      <c r="AK394" s="1">
        <v>0.63132114865467703</v>
      </c>
      <c r="AL394" s="1">
        <v>0.686196445104307</v>
      </c>
      <c r="AM394" s="1">
        <v>2.0047909103520301</v>
      </c>
      <c r="AN394" s="1">
        <v>0.31893949588899001</v>
      </c>
      <c r="EY394" s="1">
        <v>83.12</v>
      </c>
    </row>
    <row r="395" spans="1:155" x14ac:dyDescent="0.2">
      <c r="A395" s="1" t="s">
        <v>3026</v>
      </c>
      <c r="B395" s="1" t="s">
        <v>55</v>
      </c>
      <c r="C395" s="1" t="s">
        <v>3015</v>
      </c>
      <c r="E395" s="1">
        <v>36</v>
      </c>
      <c r="F395" s="1" t="s">
        <v>3016</v>
      </c>
      <c r="H395" s="1" t="s">
        <v>3024</v>
      </c>
      <c r="I395" s="1" t="s">
        <v>11</v>
      </c>
      <c r="J395" s="1" t="s">
        <v>3018</v>
      </c>
      <c r="K395" s="1" t="s">
        <v>3019</v>
      </c>
      <c r="L395" s="1" t="s">
        <v>3018</v>
      </c>
      <c r="N395" s="1" t="s">
        <v>3027</v>
      </c>
      <c r="O395" s="1">
        <v>1</v>
      </c>
      <c r="P395" s="1" t="s">
        <v>3021</v>
      </c>
      <c r="Q395" s="1">
        <v>2010</v>
      </c>
      <c r="R395" s="1" t="s">
        <v>3022</v>
      </c>
      <c r="S395" s="1" t="s">
        <v>27</v>
      </c>
      <c r="T395" s="6">
        <v>1</v>
      </c>
      <c r="Z395" s="1">
        <v>65.599999999999994</v>
      </c>
      <c r="AH395" s="1">
        <v>4.9880000000000004</v>
      </c>
      <c r="AK395" s="1">
        <v>0.762609014658572</v>
      </c>
      <c r="AL395" s="1">
        <v>0.82230506144958004</v>
      </c>
      <c r="AM395" s="1">
        <v>2.5296253403261</v>
      </c>
      <c r="AN395" s="1">
        <v>0.39626458356574601</v>
      </c>
      <c r="EY395" s="1">
        <v>81.150000000000006</v>
      </c>
    </row>
    <row r="396" spans="1:155" x14ac:dyDescent="0.2">
      <c r="A396" s="1" t="s">
        <v>3028</v>
      </c>
      <c r="B396" s="1" t="s">
        <v>55</v>
      </c>
      <c r="C396" s="1" t="s">
        <v>3015</v>
      </c>
      <c r="E396" s="1">
        <v>36</v>
      </c>
      <c r="F396" s="1" t="s">
        <v>3016</v>
      </c>
      <c r="H396" s="1" t="s">
        <v>3024</v>
      </c>
      <c r="I396" s="1" t="s">
        <v>11</v>
      </c>
      <c r="J396" s="1" t="s">
        <v>3018</v>
      </c>
      <c r="K396" s="1" t="s">
        <v>3019</v>
      </c>
      <c r="L396" s="1" t="s">
        <v>3018</v>
      </c>
      <c r="N396" s="1" t="s">
        <v>3029</v>
      </c>
      <c r="O396" s="1">
        <v>1</v>
      </c>
      <c r="P396" s="1" t="s">
        <v>3021</v>
      </c>
      <c r="Q396" s="1">
        <v>2010</v>
      </c>
      <c r="R396" s="1" t="s">
        <v>3022</v>
      </c>
      <c r="S396" s="1" t="s">
        <v>27</v>
      </c>
      <c r="T396" s="6">
        <v>1</v>
      </c>
      <c r="Z396" s="1">
        <v>60.7</v>
      </c>
      <c r="AH396" s="1">
        <v>6.4451999999999998</v>
      </c>
      <c r="AK396" s="1">
        <v>0.64583325043251105</v>
      </c>
      <c r="AL396" s="1">
        <v>1.45052626462905</v>
      </c>
      <c r="AM396" s="1">
        <v>3.2275964841478699</v>
      </c>
      <c r="AN396" s="1">
        <v>0.54641560079056395</v>
      </c>
      <c r="EY396" s="1">
        <v>84.08</v>
      </c>
    </row>
    <row r="397" spans="1:155" x14ac:dyDescent="0.2">
      <c r="A397" s="1" t="s">
        <v>3030</v>
      </c>
      <c r="B397" s="1" t="s">
        <v>55</v>
      </c>
      <c r="C397" s="1" t="s">
        <v>3015</v>
      </c>
      <c r="E397" s="1">
        <v>36</v>
      </c>
      <c r="F397" s="1" t="s">
        <v>3016</v>
      </c>
      <c r="H397" s="1" t="s">
        <v>3031</v>
      </c>
      <c r="I397" s="1" t="s">
        <v>11</v>
      </c>
      <c r="J397" s="1" t="s">
        <v>3018</v>
      </c>
      <c r="K397" s="1" t="s">
        <v>3019</v>
      </c>
      <c r="L397" s="1" t="s">
        <v>3018</v>
      </c>
      <c r="N397" s="1" t="s">
        <v>3032</v>
      </c>
      <c r="O397" s="1">
        <v>1</v>
      </c>
      <c r="P397" s="1" t="s">
        <v>3021</v>
      </c>
      <c r="Q397" s="1">
        <v>2010</v>
      </c>
      <c r="R397" s="1" t="s">
        <v>3022</v>
      </c>
      <c r="S397" s="1" t="s">
        <v>27</v>
      </c>
      <c r="T397" s="6">
        <v>1</v>
      </c>
      <c r="Z397" s="1">
        <v>57.7</v>
      </c>
      <c r="AH397" s="1">
        <v>13.536</v>
      </c>
      <c r="AK397" s="1">
        <v>1.44890429616807</v>
      </c>
      <c r="AL397" s="1">
        <v>1.9948258863564601</v>
      </c>
      <c r="AM397" s="1">
        <v>8.7065112793205106</v>
      </c>
      <c r="AN397" s="1">
        <v>0.33584653815495502</v>
      </c>
      <c r="EY397" s="1">
        <v>90.5</v>
      </c>
    </row>
    <row r="398" spans="1:155" x14ac:dyDescent="0.2">
      <c r="A398" s="1" t="s">
        <v>3033</v>
      </c>
      <c r="B398" s="1" t="s">
        <v>55</v>
      </c>
      <c r="C398" s="1" t="s">
        <v>3015</v>
      </c>
      <c r="E398" s="1">
        <v>36</v>
      </c>
      <c r="F398" s="1" t="s">
        <v>3016</v>
      </c>
      <c r="H398" s="1" t="s">
        <v>3031</v>
      </c>
      <c r="I398" s="1" t="s">
        <v>11</v>
      </c>
      <c r="J398" s="1" t="s">
        <v>3018</v>
      </c>
      <c r="K398" s="1" t="s">
        <v>3019</v>
      </c>
      <c r="L398" s="1" t="s">
        <v>3018</v>
      </c>
      <c r="N398" s="1" t="s">
        <v>3034</v>
      </c>
      <c r="O398" s="1">
        <v>1</v>
      </c>
      <c r="P398" s="1" t="s">
        <v>3021</v>
      </c>
      <c r="Q398" s="1">
        <v>2010</v>
      </c>
      <c r="R398" s="1" t="s">
        <v>3022</v>
      </c>
      <c r="S398" s="1" t="s">
        <v>27</v>
      </c>
      <c r="T398" s="6">
        <v>1</v>
      </c>
      <c r="Z398" s="1">
        <v>54.6</v>
      </c>
      <c r="AH398" s="1">
        <v>16.571000000000002</v>
      </c>
      <c r="AK398" s="1">
        <v>1.66775577405112</v>
      </c>
      <c r="AL398" s="1">
        <v>1.86813649252069</v>
      </c>
      <c r="AM398" s="1">
        <v>11.319458105108</v>
      </c>
      <c r="AN398" s="1">
        <v>0.46239262832019301</v>
      </c>
      <c r="EY398" s="1">
        <v>24.4</v>
      </c>
    </row>
    <row r="399" spans="1:155" x14ac:dyDescent="0.2">
      <c r="A399" s="1" t="s">
        <v>3035</v>
      </c>
      <c r="B399" s="1" t="s">
        <v>55</v>
      </c>
      <c r="C399" s="1" t="s">
        <v>3015</v>
      </c>
      <c r="E399" s="1">
        <v>36</v>
      </c>
      <c r="F399" s="1" t="s">
        <v>3016</v>
      </c>
      <c r="H399" s="1" t="s">
        <v>3031</v>
      </c>
      <c r="I399" s="1" t="s">
        <v>11</v>
      </c>
      <c r="J399" s="1" t="s">
        <v>3018</v>
      </c>
      <c r="K399" s="1" t="s">
        <v>3019</v>
      </c>
      <c r="L399" s="1" t="s">
        <v>3018</v>
      </c>
      <c r="N399" s="1" t="s">
        <v>3036</v>
      </c>
      <c r="O399" s="1">
        <v>1</v>
      </c>
      <c r="P399" s="1" t="s">
        <v>3021</v>
      </c>
      <c r="Q399" s="1">
        <v>2010</v>
      </c>
      <c r="R399" s="1" t="s">
        <v>3022</v>
      </c>
      <c r="S399" s="1" t="s">
        <v>27</v>
      </c>
      <c r="T399" s="6">
        <v>1</v>
      </c>
      <c r="Z399" s="1">
        <v>45</v>
      </c>
      <c r="AH399" s="1">
        <v>23.594999999999999</v>
      </c>
      <c r="AK399" s="1">
        <v>1.0203921482581</v>
      </c>
      <c r="AL399" s="1">
        <v>2.2914528207551501</v>
      </c>
      <c r="AM399" s="1">
        <v>17.825492207556199</v>
      </c>
      <c r="AN399" s="1">
        <v>0.73379782343051103</v>
      </c>
      <c r="EY399" s="1">
        <v>21.35</v>
      </c>
    </row>
    <row r="400" spans="1:155" x14ac:dyDescent="0.2">
      <c r="A400" s="1" t="s">
        <v>3037</v>
      </c>
      <c r="B400" s="1" t="s">
        <v>55</v>
      </c>
      <c r="C400" s="1" t="s">
        <v>3015</v>
      </c>
      <c r="E400" s="1">
        <v>36</v>
      </c>
      <c r="F400" s="1" t="s">
        <v>3016</v>
      </c>
      <c r="H400" s="1" t="s">
        <v>3038</v>
      </c>
      <c r="I400" s="1" t="s">
        <v>11</v>
      </c>
      <c r="J400" s="1" t="s">
        <v>3018</v>
      </c>
      <c r="K400" s="1" t="s">
        <v>3019</v>
      </c>
      <c r="L400" s="1" t="s">
        <v>3018</v>
      </c>
      <c r="N400" s="1" t="s">
        <v>3039</v>
      </c>
      <c r="O400" s="1">
        <v>1</v>
      </c>
      <c r="P400" s="1" t="s">
        <v>3021</v>
      </c>
      <c r="Q400" s="1">
        <v>2010</v>
      </c>
      <c r="R400" s="1" t="s">
        <v>3022</v>
      </c>
      <c r="S400" s="1" t="s">
        <v>27</v>
      </c>
      <c r="T400" s="6">
        <v>1</v>
      </c>
      <c r="Z400" s="1">
        <v>64</v>
      </c>
      <c r="AH400" s="1">
        <v>4.8959999999999999</v>
      </c>
      <c r="AK400" s="1">
        <v>0.63342352853335004</v>
      </c>
      <c r="AL400" s="1">
        <v>0.52454593427408402</v>
      </c>
      <c r="AM400" s="1">
        <v>3.0703943195227201</v>
      </c>
      <c r="AN400" s="1">
        <v>0.19660421766984201</v>
      </c>
      <c r="EY400" s="1">
        <v>84.69</v>
      </c>
    </row>
    <row r="401" spans="1:155" x14ac:dyDescent="0.2">
      <c r="A401" s="1" t="s">
        <v>3040</v>
      </c>
      <c r="B401" s="1" t="s">
        <v>55</v>
      </c>
      <c r="C401" s="1" t="s">
        <v>3015</v>
      </c>
      <c r="E401" s="1">
        <v>36</v>
      </c>
      <c r="F401" s="1" t="s">
        <v>3016</v>
      </c>
      <c r="H401" s="1" t="s">
        <v>3038</v>
      </c>
      <c r="I401" s="1" t="s">
        <v>11</v>
      </c>
      <c r="J401" s="1" t="s">
        <v>3018</v>
      </c>
      <c r="K401" s="1" t="s">
        <v>3019</v>
      </c>
      <c r="L401" s="1" t="s">
        <v>3018</v>
      </c>
      <c r="N401" s="1" t="s">
        <v>3041</v>
      </c>
      <c r="O401" s="1">
        <v>1</v>
      </c>
      <c r="P401" s="1" t="s">
        <v>3021</v>
      </c>
      <c r="Q401" s="1">
        <v>2010</v>
      </c>
      <c r="R401" s="1" t="s">
        <v>3022</v>
      </c>
      <c r="S401" s="1" t="s">
        <v>27</v>
      </c>
      <c r="T401" s="6">
        <v>1</v>
      </c>
      <c r="Z401" s="1">
        <v>60.8</v>
      </c>
      <c r="AH401" s="1">
        <v>9.6432000000000002</v>
      </c>
      <c r="AK401" s="1">
        <v>0.87285596554490696</v>
      </c>
      <c r="AL401" s="1">
        <v>1.16677374935036</v>
      </c>
      <c r="AM401" s="1">
        <v>5.7677622670169502</v>
      </c>
      <c r="AN401" s="1">
        <v>1.0467136180877901</v>
      </c>
      <c r="EY401" s="1">
        <v>86.24</v>
      </c>
    </row>
    <row r="402" spans="1:155" x14ac:dyDescent="0.2">
      <c r="A402" s="1" t="s">
        <v>3042</v>
      </c>
      <c r="B402" s="1" t="s">
        <v>55</v>
      </c>
      <c r="C402" s="1" t="s">
        <v>3015</v>
      </c>
      <c r="E402" s="1">
        <v>36</v>
      </c>
      <c r="F402" s="1" t="s">
        <v>3016</v>
      </c>
      <c r="H402" s="1" t="s">
        <v>3038</v>
      </c>
      <c r="I402" s="1" t="s">
        <v>11</v>
      </c>
      <c r="J402" s="1" t="s">
        <v>3018</v>
      </c>
      <c r="K402" s="1" t="s">
        <v>3019</v>
      </c>
      <c r="L402" s="1" t="s">
        <v>3018</v>
      </c>
      <c r="N402" s="1" t="s">
        <v>3043</v>
      </c>
      <c r="O402" s="1">
        <v>1</v>
      </c>
      <c r="P402" s="1" t="s">
        <v>3021</v>
      </c>
      <c r="Q402" s="1">
        <v>2010</v>
      </c>
      <c r="R402" s="1" t="s">
        <v>3022</v>
      </c>
      <c r="S402" s="1" t="s">
        <v>27</v>
      </c>
      <c r="T402" s="6">
        <v>1</v>
      </c>
      <c r="Z402" s="1">
        <v>58.8</v>
      </c>
      <c r="AH402" s="1">
        <v>11.000400000000001</v>
      </c>
      <c r="AK402" s="1">
        <v>0.95438041081015201</v>
      </c>
      <c r="AL402" s="1">
        <v>1.45900264401184</v>
      </c>
      <c r="AM402" s="1">
        <v>6.6080734968351003</v>
      </c>
      <c r="AN402" s="1">
        <v>1.09891664834291</v>
      </c>
      <c r="EY402" s="1">
        <v>88.6</v>
      </c>
    </row>
    <row r="403" spans="1:155" x14ac:dyDescent="0.2">
      <c r="A403" s="1" t="s">
        <v>3044</v>
      </c>
      <c r="B403" s="1" t="s">
        <v>55</v>
      </c>
      <c r="C403" s="1" t="s">
        <v>3015</v>
      </c>
      <c r="E403" s="1">
        <v>36</v>
      </c>
      <c r="F403" s="1" t="s">
        <v>3016</v>
      </c>
      <c r="H403" s="1" t="s">
        <v>3045</v>
      </c>
      <c r="I403" s="1" t="s">
        <v>11</v>
      </c>
      <c r="J403" s="1" t="s">
        <v>3018</v>
      </c>
      <c r="K403" s="1" t="s">
        <v>3019</v>
      </c>
      <c r="L403" s="1" t="s">
        <v>3018</v>
      </c>
      <c r="N403" s="1" t="s">
        <v>3046</v>
      </c>
      <c r="O403" s="1">
        <v>1</v>
      </c>
      <c r="P403" s="1" t="s">
        <v>3021</v>
      </c>
      <c r="Q403" s="1">
        <v>2010</v>
      </c>
      <c r="R403" s="1" t="s">
        <v>3022</v>
      </c>
      <c r="S403" s="1" t="s">
        <v>27</v>
      </c>
      <c r="T403" s="6">
        <v>1</v>
      </c>
      <c r="Z403" s="1">
        <v>60.1</v>
      </c>
      <c r="AH403" s="1">
        <v>7.4214000000000002</v>
      </c>
      <c r="AK403" s="1">
        <v>1.04659850696734</v>
      </c>
      <c r="AL403" s="1">
        <v>1.0780745423495901</v>
      </c>
      <c r="AM403" s="1">
        <v>3.8554631260178001</v>
      </c>
      <c r="AN403" s="1">
        <v>0.80103002466526396</v>
      </c>
      <c r="EY403" s="1">
        <v>73.22</v>
      </c>
    </row>
    <row r="404" spans="1:155" x14ac:dyDescent="0.2">
      <c r="A404" s="1" t="s">
        <v>3047</v>
      </c>
      <c r="B404" s="1" t="s">
        <v>55</v>
      </c>
      <c r="C404" s="1" t="s">
        <v>3015</v>
      </c>
      <c r="E404" s="1">
        <v>36</v>
      </c>
      <c r="F404" s="1" t="s">
        <v>3016</v>
      </c>
      <c r="H404" s="1" t="s">
        <v>3045</v>
      </c>
      <c r="I404" s="1" t="s">
        <v>11</v>
      </c>
      <c r="J404" s="1" t="s">
        <v>3018</v>
      </c>
      <c r="K404" s="1" t="s">
        <v>3019</v>
      </c>
      <c r="L404" s="1" t="s">
        <v>3018</v>
      </c>
      <c r="N404" s="1" t="s">
        <v>3048</v>
      </c>
      <c r="O404" s="1">
        <v>1</v>
      </c>
      <c r="P404" s="1" t="s">
        <v>3021</v>
      </c>
      <c r="Q404" s="1">
        <v>2010</v>
      </c>
      <c r="R404" s="1" t="s">
        <v>3022</v>
      </c>
      <c r="S404" s="1" t="s">
        <v>27</v>
      </c>
      <c r="T404" s="6">
        <v>1</v>
      </c>
      <c r="Z404" s="1">
        <v>60</v>
      </c>
      <c r="AH404" s="1">
        <v>7.8</v>
      </c>
      <c r="AK404" s="1">
        <v>0.97100081655901704</v>
      </c>
      <c r="AL404" s="1">
        <v>1.78400690821948</v>
      </c>
      <c r="AM404" s="1">
        <v>3.5562639833106702</v>
      </c>
      <c r="AN404" s="1">
        <v>0.82312829191083603</v>
      </c>
      <c r="EY404" s="1">
        <v>74.319999999999993</v>
      </c>
    </row>
    <row r="405" spans="1:155" x14ac:dyDescent="0.2">
      <c r="A405" s="1" t="s">
        <v>3049</v>
      </c>
      <c r="B405" s="1" t="s">
        <v>55</v>
      </c>
      <c r="C405" s="1" t="s">
        <v>3015</v>
      </c>
      <c r="E405" s="1">
        <v>36</v>
      </c>
      <c r="F405" s="1" t="s">
        <v>3016</v>
      </c>
      <c r="H405" s="1" t="s">
        <v>3045</v>
      </c>
      <c r="I405" s="1" t="s">
        <v>11</v>
      </c>
      <c r="J405" s="1" t="s">
        <v>3018</v>
      </c>
      <c r="K405" s="1" t="s">
        <v>3019</v>
      </c>
      <c r="L405" s="1" t="s">
        <v>3018</v>
      </c>
      <c r="N405" s="1" t="s">
        <v>3050</v>
      </c>
      <c r="O405" s="1">
        <v>1</v>
      </c>
      <c r="P405" s="1" t="s">
        <v>3021</v>
      </c>
      <c r="Q405" s="1">
        <v>2010</v>
      </c>
      <c r="R405" s="1" t="s">
        <v>3022</v>
      </c>
      <c r="S405" s="1" t="s">
        <v>27</v>
      </c>
      <c r="T405" s="6">
        <v>1</v>
      </c>
      <c r="Z405" s="1">
        <v>60.2</v>
      </c>
      <c r="AH405" s="1">
        <v>7.4425999999999997</v>
      </c>
      <c r="AK405" s="1">
        <v>0.86012868453666202</v>
      </c>
      <c r="AL405" s="1">
        <v>1.7536336994452999</v>
      </c>
      <c r="AM405" s="1">
        <v>3.2276564254834601</v>
      </c>
      <c r="AN405" s="1">
        <v>0.95952699053458101</v>
      </c>
      <c r="EY405" s="1">
        <v>71.61</v>
      </c>
    </row>
    <row r="406" spans="1:155" x14ac:dyDescent="0.2">
      <c r="A406" s="1" t="s">
        <v>3051</v>
      </c>
      <c r="B406" s="1" t="s">
        <v>55</v>
      </c>
      <c r="C406" s="1" t="s">
        <v>236</v>
      </c>
      <c r="E406" s="1">
        <v>23</v>
      </c>
      <c r="F406" s="1" t="s">
        <v>2834</v>
      </c>
      <c r="G406" s="1" t="s">
        <v>3052</v>
      </c>
      <c r="H406" s="1" t="s">
        <v>3053</v>
      </c>
      <c r="I406" s="1" t="s">
        <v>7</v>
      </c>
      <c r="J406" s="1" t="s">
        <v>2836</v>
      </c>
      <c r="K406" s="1" t="s">
        <v>2837</v>
      </c>
      <c r="L406" s="1" t="s">
        <v>2836</v>
      </c>
      <c r="P406" s="1" t="s">
        <v>3054</v>
      </c>
      <c r="Q406" s="1">
        <v>2008</v>
      </c>
      <c r="R406" s="1" t="s">
        <v>3055</v>
      </c>
      <c r="S406" s="1" t="s">
        <v>27</v>
      </c>
      <c r="T406" s="6">
        <v>1</v>
      </c>
      <c r="Z406" s="1" t="s">
        <v>3056</v>
      </c>
      <c r="AC406" s="1" t="s">
        <v>3057</v>
      </c>
      <c r="AI406" s="1" t="s">
        <v>3058</v>
      </c>
      <c r="AV406" s="1" t="s">
        <v>3059</v>
      </c>
      <c r="AY406" s="1">
        <v>41206</v>
      </c>
      <c r="BF406" s="1">
        <v>40945</v>
      </c>
      <c r="BP406" s="1" t="s">
        <v>3060</v>
      </c>
    </row>
    <row r="407" spans="1:155" x14ac:dyDescent="0.2">
      <c r="A407" s="1" t="s">
        <v>3061</v>
      </c>
      <c r="B407" s="1" t="s">
        <v>55</v>
      </c>
      <c r="C407" s="1" t="s">
        <v>3062</v>
      </c>
      <c r="D407" s="1" t="s">
        <v>2</v>
      </c>
      <c r="E407" s="1">
        <v>23</v>
      </c>
      <c r="F407" s="1" t="s">
        <v>1472</v>
      </c>
      <c r="G407" s="1" t="s">
        <v>3063</v>
      </c>
      <c r="H407" s="1" t="s">
        <v>3064</v>
      </c>
      <c r="I407" s="1" t="s">
        <v>7</v>
      </c>
      <c r="J407" s="1" t="s">
        <v>3065</v>
      </c>
      <c r="K407" s="1" t="s">
        <v>1475</v>
      </c>
      <c r="L407" s="1" t="s">
        <v>1474</v>
      </c>
      <c r="P407" s="1" t="s">
        <v>3054</v>
      </c>
      <c r="Q407" s="1">
        <v>2008</v>
      </c>
      <c r="R407" s="1" t="s">
        <v>3055</v>
      </c>
      <c r="S407" s="1" t="s">
        <v>27</v>
      </c>
      <c r="T407" s="6">
        <v>1</v>
      </c>
      <c r="Z407" s="1" t="s">
        <v>3066</v>
      </c>
      <c r="AC407" s="1" t="s">
        <v>3067</v>
      </c>
      <c r="AI407" s="1" t="s">
        <v>3068</v>
      </c>
      <c r="AV407" s="1" t="s">
        <v>3069</v>
      </c>
      <c r="AY407" s="1" t="s">
        <v>3070</v>
      </c>
      <c r="BF407" s="1">
        <v>40974</v>
      </c>
      <c r="BP407" s="1" t="s">
        <v>3071</v>
      </c>
    </row>
    <row r="408" spans="1:155" x14ac:dyDescent="0.2">
      <c r="A408" s="1" t="s">
        <v>3072</v>
      </c>
      <c r="B408" s="1" t="s">
        <v>55</v>
      </c>
      <c r="C408" s="1" t="s">
        <v>3062</v>
      </c>
      <c r="D408" s="1" t="s">
        <v>2</v>
      </c>
      <c r="E408" s="1">
        <v>12</v>
      </c>
      <c r="F408" s="1" t="s">
        <v>2516</v>
      </c>
      <c r="G408" s="1" t="s">
        <v>3073</v>
      </c>
      <c r="H408" s="1" t="s">
        <v>3074</v>
      </c>
      <c r="I408" s="1" t="s">
        <v>7</v>
      </c>
      <c r="J408" s="1" t="s">
        <v>3075</v>
      </c>
      <c r="K408" s="1" t="s">
        <v>2520</v>
      </c>
      <c r="L408" s="1" t="s">
        <v>2521</v>
      </c>
      <c r="P408" s="1" t="s">
        <v>3054</v>
      </c>
      <c r="Q408" s="1">
        <v>2008</v>
      </c>
      <c r="R408" s="1" t="s">
        <v>3055</v>
      </c>
      <c r="S408" s="1" t="s">
        <v>27</v>
      </c>
      <c r="T408" s="6">
        <v>1</v>
      </c>
      <c r="Z408" s="1" t="s">
        <v>3076</v>
      </c>
      <c r="AC408" s="1" t="s">
        <v>3077</v>
      </c>
      <c r="AI408" s="1" t="s">
        <v>3078</v>
      </c>
      <c r="AV408" s="1" t="s">
        <v>3079</v>
      </c>
      <c r="AY408" s="1" t="s">
        <v>3080</v>
      </c>
      <c r="BF408" s="1">
        <v>40911</v>
      </c>
      <c r="BP408" s="1" t="s">
        <v>3081</v>
      </c>
    </row>
    <row r="409" spans="1:155" x14ac:dyDescent="0.2">
      <c r="A409" s="1" t="s">
        <v>3082</v>
      </c>
      <c r="B409" s="1" t="s">
        <v>55</v>
      </c>
      <c r="C409" s="1" t="s">
        <v>3062</v>
      </c>
      <c r="D409" s="1" t="s">
        <v>2</v>
      </c>
      <c r="E409" s="1">
        <v>13</v>
      </c>
      <c r="F409" s="1" t="s">
        <v>3083</v>
      </c>
      <c r="G409" s="1" t="s">
        <v>3084</v>
      </c>
      <c r="H409" s="1" t="s">
        <v>3085</v>
      </c>
      <c r="I409" s="1" t="s">
        <v>7</v>
      </c>
      <c r="J409" s="1" t="s">
        <v>3086</v>
      </c>
      <c r="K409" s="1" t="s">
        <v>3087</v>
      </c>
      <c r="L409" s="1" t="s">
        <v>3086</v>
      </c>
      <c r="P409" s="1" t="s">
        <v>3054</v>
      </c>
      <c r="Q409" s="1">
        <v>2008</v>
      </c>
      <c r="R409" s="1" t="s">
        <v>3055</v>
      </c>
      <c r="S409" s="1" t="s">
        <v>27</v>
      </c>
      <c r="T409" s="6">
        <v>1</v>
      </c>
      <c r="Z409" s="1" t="s">
        <v>3088</v>
      </c>
      <c r="AC409" s="1" t="s">
        <v>3089</v>
      </c>
      <c r="AI409" s="1" t="s">
        <v>3090</v>
      </c>
      <c r="AV409" s="1" t="s">
        <v>3069</v>
      </c>
      <c r="AY409" s="1">
        <v>41266</v>
      </c>
      <c r="BF409" s="1">
        <v>40910</v>
      </c>
      <c r="BP409" s="1" t="s">
        <v>3091</v>
      </c>
    </row>
    <row r="410" spans="1:155" x14ac:dyDescent="0.2">
      <c r="A410" s="1" t="s">
        <v>3092</v>
      </c>
      <c r="B410" s="1" t="s">
        <v>55</v>
      </c>
      <c r="C410" s="1" t="s">
        <v>3093</v>
      </c>
      <c r="E410" s="1">
        <v>36</v>
      </c>
      <c r="F410" s="1" t="s">
        <v>3094</v>
      </c>
      <c r="G410" s="1" t="s">
        <v>3095</v>
      </c>
      <c r="H410" s="1" t="s">
        <v>3096</v>
      </c>
      <c r="I410" s="1" t="s">
        <v>7</v>
      </c>
      <c r="J410" s="1" t="s">
        <v>3097</v>
      </c>
      <c r="K410" s="1" t="s">
        <v>3098</v>
      </c>
      <c r="L410" s="1" t="s">
        <v>3097</v>
      </c>
      <c r="O410" s="1">
        <v>4</v>
      </c>
      <c r="Q410" s="1">
        <v>2004</v>
      </c>
      <c r="R410" s="1" t="s">
        <v>3099</v>
      </c>
      <c r="S410" s="1" t="s">
        <v>27</v>
      </c>
      <c r="T410" s="6">
        <v>1</v>
      </c>
      <c r="Z410" s="1">
        <v>76.31</v>
      </c>
      <c r="AC410" s="1">
        <v>18.68</v>
      </c>
      <c r="AH410" s="1">
        <v>4.9400000000000004</v>
      </c>
      <c r="AK410" s="1">
        <v>0.42542000000000002</v>
      </c>
      <c r="AL410" s="1">
        <v>0.38156000000000001</v>
      </c>
      <c r="AM410" s="1">
        <v>1.0504100000000001</v>
      </c>
    </row>
    <row r="411" spans="1:155" x14ac:dyDescent="0.2">
      <c r="A411" s="1" t="s">
        <v>3100</v>
      </c>
      <c r="B411" s="1" t="s">
        <v>55</v>
      </c>
      <c r="C411" s="1" t="s">
        <v>3093</v>
      </c>
      <c r="E411" s="1">
        <v>38</v>
      </c>
      <c r="F411" s="1" t="s">
        <v>3101</v>
      </c>
      <c r="G411" s="1" t="s">
        <v>3102</v>
      </c>
      <c r="H411" s="1" t="s">
        <v>3103</v>
      </c>
      <c r="I411" s="1" t="s">
        <v>7</v>
      </c>
      <c r="J411" s="1" t="s">
        <v>3104</v>
      </c>
      <c r="K411" s="1" t="s">
        <v>3105</v>
      </c>
      <c r="L411" s="1" t="s">
        <v>3104</v>
      </c>
      <c r="O411" s="1">
        <v>4</v>
      </c>
      <c r="Q411" s="1">
        <v>2004</v>
      </c>
      <c r="R411" s="1" t="s">
        <v>3099</v>
      </c>
      <c r="S411" s="1" t="s">
        <v>27</v>
      </c>
      <c r="T411" s="6">
        <v>1</v>
      </c>
      <c r="Z411" s="1">
        <v>72.739999999999995</v>
      </c>
      <c r="AC411" s="1">
        <v>22.82</v>
      </c>
      <c r="AH411" s="1">
        <v>1.64</v>
      </c>
      <c r="AK411" s="1">
        <v>9.9299999999999999E-2</v>
      </c>
      <c r="AL411" s="1">
        <v>6.1550000000000001E-2</v>
      </c>
      <c r="AM411" s="1">
        <v>0.16239999999999999</v>
      </c>
    </row>
    <row r="412" spans="1:155" x14ac:dyDescent="0.2">
      <c r="A412" s="1" t="s">
        <v>3106</v>
      </c>
      <c r="B412" s="1" t="s">
        <v>55</v>
      </c>
      <c r="C412" s="1" t="s">
        <v>3093</v>
      </c>
      <c r="E412" s="1">
        <v>36</v>
      </c>
      <c r="F412" s="1" t="s">
        <v>1815</v>
      </c>
      <c r="G412" s="1" t="s">
        <v>3107</v>
      </c>
      <c r="H412" s="1" t="s">
        <v>3108</v>
      </c>
      <c r="I412" s="1" t="s">
        <v>7</v>
      </c>
      <c r="J412" s="1" t="s">
        <v>1817</v>
      </c>
      <c r="K412" s="1" t="s">
        <v>1818</v>
      </c>
      <c r="L412" s="1" t="s">
        <v>1817</v>
      </c>
      <c r="O412" s="1">
        <v>4</v>
      </c>
      <c r="Q412" s="1">
        <v>2004</v>
      </c>
      <c r="R412" s="1" t="s">
        <v>3099</v>
      </c>
      <c r="S412" s="1" t="s">
        <v>27</v>
      </c>
      <c r="T412" s="6">
        <v>1</v>
      </c>
      <c r="Z412" s="1">
        <v>73.2</v>
      </c>
      <c r="AC412" s="1">
        <v>22.9</v>
      </c>
      <c r="AH412" s="1">
        <v>1.2</v>
      </c>
      <c r="AK412" s="1">
        <v>0.11217000000000001</v>
      </c>
      <c r="AL412" s="1">
        <v>7.5300000000000006E-2</v>
      </c>
      <c r="AM412" s="1">
        <v>0.22659000000000001</v>
      </c>
    </row>
    <row r="413" spans="1:155" x14ac:dyDescent="0.2">
      <c r="A413" s="1" t="s">
        <v>3109</v>
      </c>
      <c r="B413" s="1" t="s">
        <v>55</v>
      </c>
      <c r="C413" s="1" t="s">
        <v>3093</v>
      </c>
      <c r="E413" s="1">
        <v>33</v>
      </c>
      <c r="F413" s="1" t="s">
        <v>3110</v>
      </c>
      <c r="G413" s="1" t="s">
        <v>3111</v>
      </c>
      <c r="H413" s="1" t="s">
        <v>3112</v>
      </c>
      <c r="I413" s="1" t="s">
        <v>7</v>
      </c>
      <c r="J413" s="1" t="s">
        <v>3113</v>
      </c>
      <c r="K413" s="1" t="s">
        <v>3114</v>
      </c>
      <c r="L413" s="1" t="s">
        <v>3113</v>
      </c>
      <c r="O413" s="1">
        <v>4</v>
      </c>
      <c r="Q413" s="1">
        <v>2004</v>
      </c>
      <c r="R413" s="1" t="s">
        <v>3099</v>
      </c>
      <c r="S413" s="1" t="s">
        <v>27</v>
      </c>
      <c r="T413" s="6">
        <v>1</v>
      </c>
      <c r="Z413" s="1">
        <v>79.8</v>
      </c>
      <c r="AC413" s="1">
        <v>17</v>
      </c>
      <c r="AH413" s="1">
        <v>2.65</v>
      </c>
      <c r="AK413" s="1">
        <v>0.40455000000000002</v>
      </c>
      <c r="AL413" s="1">
        <v>0.33204</v>
      </c>
      <c r="AM413" s="1">
        <v>0.53703999999999996</v>
      </c>
    </row>
    <row r="414" spans="1:155" x14ac:dyDescent="0.2">
      <c r="A414" s="1" t="s">
        <v>3115</v>
      </c>
      <c r="B414" s="1" t="s">
        <v>55</v>
      </c>
      <c r="C414" s="1" t="s">
        <v>3093</v>
      </c>
      <c r="E414" s="1">
        <v>33</v>
      </c>
      <c r="F414" s="1" t="s">
        <v>3116</v>
      </c>
      <c r="G414" s="1" t="s">
        <v>3117</v>
      </c>
      <c r="H414" s="1" t="s">
        <v>3118</v>
      </c>
      <c r="I414" s="1" t="s">
        <v>7</v>
      </c>
      <c r="J414" s="1" t="s">
        <v>3119</v>
      </c>
      <c r="K414" s="1" t="s">
        <v>3120</v>
      </c>
      <c r="L414" s="1" t="s">
        <v>3119</v>
      </c>
      <c r="O414" s="1">
        <v>4</v>
      </c>
      <c r="Q414" s="1">
        <v>2004</v>
      </c>
      <c r="R414" s="1" t="s">
        <v>3099</v>
      </c>
      <c r="S414" s="1" t="s">
        <v>27</v>
      </c>
      <c r="T414" s="6">
        <v>1</v>
      </c>
      <c r="Z414" s="1">
        <v>76.23</v>
      </c>
      <c r="AC414" s="1">
        <v>18.239999999999998</v>
      </c>
      <c r="AH414" s="1">
        <v>3.13</v>
      </c>
      <c r="AK414" s="1">
        <v>0.13900000000000001</v>
      </c>
      <c r="AL414" s="1">
        <v>6.198E-2</v>
      </c>
      <c r="AM414" s="1">
        <v>0.25092999999999999</v>
      </c>
    </row>
    <row r="415" spans="1:155" x14ac:dyDescent="0.2">
      <c r="A415" s="1" t="s">
        <v>3121</v>
      </c>
      <c r="B415" s="1" t="s">
        <v>55</v>
      </c>
      <c r="C415" s="1" t="s">
        <v>3093</v>
      </c>
      <c r="E415" s="1">
        <v>38</v>
      </c>
      <c r="F415" s="1" t="s">
        <v>3122</v>
      </c>
      <c r="G415" s="1" t="s">
        <v>3123</v>
      </c>
      <c r="H415" s="1" t="s">
        <v>3124</v>
      </c>
      <c r="I415" s="1" t="s">
        <v>7</v>
      </c>
      <c r="J415" s="1" t="s">
        <v>3125</v>
      </c>
      <c r="K415" s="1" t="s">
        <v>3126</v>
      </c>
      <c r="L415" s="1" t="s">
        <v>3125</v>
      </c>
      <c r="O415" s="1">
        <v>4</v>
      </c>
      <c r="Q415" s="1">
        <v>2004</v>
      </c>
      <c r="R415" s="1" t="s">
        <v>3099</v>
      </c>
      <c r="S415" s="1" t="s">
        <v>27</v>
      </c>
      <c r="T415" s="6">
        <v>1</v>
      </c>
      <c r="Z415" s="1">
        <v>72.89</v>
      </c>
      <c r="AC415" s="1">
        <v>21.15</v>
      </c>
      <c r="AH415" s="1">
        <v>2.37</v>
      </c>
      <c r="AK415" s="1">
        <v>0.10009</v>
      </c>
      <c r="AL415" s="1">
        <v>5.3870000000000001E-2</v>
      </c>
      <c r="AM415" s="1">
        <v>9.4270000000000007E-2</v>
      </c>
    </row>
    <row r="416" spans="1:155" x14ac:dyDescent="0.2">
      <c r="A416" s="1" t="s">
        <v>3127</v>
      </c>
      <c r="B416" s="1" t="s">
        <v>55</v>
      </c>
      <c r="C416" s="1" t="s">
        <v>3093</v>
      </c>
      <c r="E416" s="1">
        <v>33</v>
      </c>
      <c r="F416" s="1" t="s">
        <v>3128</v>
      </c>
      <c r="G416" s="1" t="s">
        <v>3129</v>
      </c>
      <c r="H416" s="1" t="s">
        <v>3130</v>
      </c>
      <c r="I416" s="1" t="s">
        <v>7</v>
      </c>
      <c r="J416" s="1" t="s">
        <v>3131</v>
      </c>
      <c r="K416" s="1" t="s">
        <v>3132</v>
      </c>
      <c r="L416" s="1" t="s">
        <v>3131</v>
      </c>
      <c r="O416" s="1">
        <v>4</v>
      </c>
      <c r="Q416" s="1">
        <v>2004</v>
      </c>
      <c r="R416" s="1" t="s">
        <v>3099</v>
      </c>
      <c r="S416" s="1" t="s">
        <v>27</v>
      </c>
      <c r="T416" s="6">
        <v>1</v>
      </c>
      <c r="Z416" s="1">
        <v>79.64</v>
      </c>
      <c r="AC416" s="1">
        <v>16.559999999999999</v>
      </c>
      <c r="AH416" s="1">
        <v>2.82</v>
      </c>
      <c r="AK416" s="1">
        <v>0.19625999999999999</v>
      </c>
      <c r="AL416" s="1">
        <v>0.11074000000000001</v>
      </c>
      <c r="AM416" s="1">
        <v>0.31558000000000003</v>
      </c>
    </row>
    <row r="417" spans="1:96" x14ac:dyDescent="0.2">
      <c r="A417" s="1" t="s">
        <v>3133</v>
      </c>
      <c r="B417" s="1" t="s">
        <v>55</v>
      </c>
      <c r="C417" s="1" t="s">
        <v>3093</v>
      </c>
      <c r="E417" s="1">
        <v>37</v>
      </c>
      <c r="F417" s="1" t="s">
        <v>3134</v>
      </c>
      <c r="G417" s="1" t="s">
        <v>3135</v>
      </c>
      <c r="H417" s="1" t="s">
        <v>3136</v>
      </c>
      <c r="I417" s="1" t="s">
        <v>7</v>
      </c>
      <c r="J417" s="1" t="s">
        <v>3137</v>
      </c>
      <c r="K417" s="1" t="s">
        <v>3138</v>
      </c>
      <c r="L417" s="1" t="s">
        <v>3139</v>
      </c>
      <c r="O417" s="1">
        <v>4</v>
      </c>
      <c r="Q417" s="1">
        <v>2004</v>
      </c>
      <c r="R417" s="1" t="s">
        <v>3099</v>
      </c>
      <c r="S417" s="1" t="s">
        <v>27</v>
      </c>
      <c r="T417" s="6">
        <v>1</v>
      </c>
      <c r="Z417" s="1">
        <v>79.94</v>
      </c>
      <c r="AC417" s="1">
        <v>14.27</v>
      </c>
      <c r="AH417" s="1">
        <v>3.58</v>
      </c>
      <c r="AK417" s="1">
        <v>1.66242</v>
      </c>
      <c r="AL417" s="1">
        <v>1.3128599999999999</v>
      </c>
      <c r="AM417" s="1">
        <v>0.26733000000000001</v>
      </c>
    </row>
    <row r="418" spans="1:96" x14ac:dyDescent="0.2">
      <c r="A418" s="1" t="s">
        <v>3140</v>
      </c>
      <c r="B418" s="1" t="s">
        <v>55</v>
      </c>
      <c r="C418" s="1" t="s">
        <v>3093</v>
      </c>
      <c r="E418" s="1">
        <v>33</v>
      </c>
      <c r="F418" s="1" t="s">
        <v>3141</v>
      </c>
      <c r="G418" s="1" t="s">
        <v>3142</v>
      </c>
      <c r="H418" s="1" t="s">
        <v>3143</v>
      </c>
      <c r="I418" s="1" t="s">
        <v>7</v>
      </c>
      <c r="J418" s="1" t="s">
        <v>3144</v>
      </c>
      <c r="K418" s="1" t="s">
        <v>3145</v>
      </c>
      <c r="L418" s="1" t="s">
        <v>3144</v>
      </c>
      <c r="O418" s="1">
        <v>4</v>
      </c>
      <c r="Q418" s="1">
        <v>2004</v>
      </c>
      <c r="R418" s="1" t="s">
        <v>3099</v>
      </c>
      <c r="S418" s="1" t="s">
        <v>27</v>
      </c>
      <c r="T418" s="6">
        <v>1</v>
      </c>
      <c r="Z418" s="1">
        <v>73.599999999999994</v>
      </c>
      <c r="AC418" s="1">
        <v>20</v>
      </c>
      <c r="AH418" s="1">
        <v>2.82</v>
      </c>
      <c r="AK418" s="1">
        <v>7.5359999999999996E-2</v>
      </c>
      <c r="AL418" s="1">
        <v>6.4369999999999997E-2</v>
      </c>
      <c r="AM418" s="1">
        <v>4.811E-2</v>
      </c>
    </row>
    <row r="419" spans="1:96" x14ac:dyDescent="0.2">
      <c r="A419" s="1" t="s">
        <v>3146</v>
      </c>
      <c r="B419" s="1" t="s">
        <v>55</v>
      </c>
      <c r="C419" s="1" t="s">
        <v>3093</v>
      </c>
      <c r="E419" s="1">
        <v>33</v>
      </c>
      <c r="F419" s="1" t="s">
        <v>3147</v>
      </c>
      <c r="G419" s="1" t="s">
        <v>3148</v>
      </c>
      <c r="H419" s="1" t="s">
        <v>3149</v>
      </c>
      <c r="I419" s="1" t="s">
        <v>7</v>
      </c>
      <c r="J419" s="1" t="s">
        <v>3150</v>
      </c>
      <c r="K419" s="1" t="s">
        <v>3151</v>
      </c>
      <c r="L419" s="1" t="s">
        <v>3150</v>
      </c>
      <c r="O419" s="1">
        <v>4</v>
      </c>
      <c r="Q419" s="1">
        <v>2004</v>
      </c>
      <c r="R419" s="1" t="s">
        <v>3099</v>
      </c>
      <c r="S419" s="1" t="s">
        <v>27</v>
      </c>
      <c r="T419" s="6">
        <v>1</v>
      </c>
      <c r="Z419" s="1">
        <v>81.459999999999994</v>
      </c>
      <c r="AC419" s="1">
        <v>15.4</v>
      </c>
      <c r="AH419" s="1">
        <v>2.78</v>
      </c>
      <c r="AK419" s="1">
        <v>6.4420000000000005E-2</v>
      </c>
      <c r="AL419" s="1">
        <v>3.7089999999999998E-2</v>
      </c>
      <c r="AM419" s="1">
        <v>9.7280000000000005E-2</v>
      </c>
    </row>
    <row r="420" spans="1:96" x14ac:dyDescent="0.2">
      <c r="A420" s="1" t="s">
        <v>3152</v>
      </c>
      <c r="B420" s="1" t="s">
        <v>55</v>
      </c>
      <c r="C420" s="1" t="s">
        <v>3093</v>
      </c>
      <c r="E420" s="1">
        <v>37</v>
      </c>
      <c r="F420" s="1" t="s">
        <v>3153</v>
      </c>
      <c r="G420" s="1" t="s">
        <v>3154</v>
      </c>
      <c r="H420" s="1" t="s">
        <v>3155</v>
      </c>
      <c r="I420" s="1" t="s">
        <v>7</v>
      </c>
      <c r="J420" s="1" t="s">
        <v>3156</v>
      </c>
      <c r="K420" s="1" t="s">
        <v>3157</v>
      </c>
      <c r="L420" s="1" t="s">
        <v>3156</v>
      </c>
      <c r="O420" s="1">
        <v>4</v>
      </c>
      <c r="Q420" s="1">
        <v>2004</v>
      </c>
      <c r="R420" s="1" t="s">
        <v>3099</v>
      </c>
      <c r="S420" s="1" t="s">
        <v>27</v>
      </c>
      <c r="T420" s="6">
        <v>1</v>
      </c>
      <c r="Z420" s="1">
        <v>74.099999999999994</v>
      </c>
      <c r="AC420" s="1">
        <v>21.3</v>
      </c>
      <c r="AH420" s="1">
        <v>2.52</v>
      </c>
      <c r="AK420" s="1">
        <v>9.9339999999999998E-2</v>
      </c>
      <c r="AL420" s="1">
        <v>6.9610000000000005E-2</v>
      </c>
      <c r="AM420" s="1">
        <v>0.12758</v>
      </c>
    </row>
    <row r="421" spans="1:96" x14ac:dyDescent="0.2">
      <c r="A421" s="1" t="s">
        <v>3158</v>
      </c>
      <c r="B421" s="1" t="s">
        <v>55</v>
      </c>
      <c r="C421" s="1" t="s">
        <v>3093</v>
      </c>
      <c r="E421" s="1">
        <v>33</v>
      </c>
      <c r="F421" s="1" t="s">
        <v>3159</v>
      </c>
      <c r="G421" s="1" t="s">
        <v>2499</v>
      </c>
      <c r="H421" s="1" t="s">
        <v>3160</v>
      </c>
      <c r="I421" s="1" t="s">
        <v>7</v>
      </c>
      <c r="J421" s="1" t="s">
        <v>3161</v>
      </c>
      <c r="K421" s="1" t="s">
        <v>3162</v>
      </c>
      <c r="L421" s="1" t="s">
        <v>3161</v>
      </c>
      <c r="O421" s="1">
        <v>4</v>
      </c>
      <c r="Q421" s="1">
        <v>2004</v>
      </c>
      <c r="R421" s="1" t="s">
        <v>3099</v>
      </c>
      <c r="S421" s="1" t="s">
        <v>27</v>
      </c>
      <c r="T421" s="6">
        <v>1</v>
      </c>
      <c r="Z421" s="1">
        <v>79.5</v>
      </c>
      <c r="AC421" s="1">
        <v>15.1</v>
      </c>
      <c r="AH421" s="1">
        <v>2.98</v>
      </c>
      <c r="AK421" s="1">
        <v>0.11554</v>
      </c>
      <c r="AL421" s="1">
        <v>7.3810000000000001E-2</v>
      </c>
      <c r="AM421" s="1">
        <v>9.3869999999999995E-2</v>
      </c>
    </row>
    <row r="422" spans="1:96" x14ac:dyDescent="0.2">
      <c r="A422" s="1" t="s">
        <v>3163</v>
      </c>
      <c r="B422" s="1" t="s">
        <v>55</v>
      </c>
      <c r="C422" s="1" t="s">
        <v>3093</v>
      </c>
      <c r="E422" s="1">
        <v>33</v>
      </c>
      <c r="F422" s="1" t="s">
        <v>3164</v>
      </c>
      <c r="G422" s="1" t="s">
        <v>3165</v>
      </c>
      <c r="H422" s="1" t="s">
        <v>3166</v>
      </c>
      <c r="I422" s="1" t="s">
        <v>7</v>
      </c>
      <c r="J422" s="1" t="s">
        <v>3167</v>
      </c>
      <c r="L422" s="1" t="s">
        <v>3168</v>
      </c>
      <c r="O422" s="1">
        <v>4</v>
      </c>
      <c r="Q422" s="1">
        <v>2005</v>
      </c>
      <c r="R422" s="1" t="s">
        <v>3099</v>
      </c>
      <c r="S422" s="1" t="s">
        <v>27</v>
      </c>
      <c r="T422" s="6">
        <v>1</v>
      </c>
      <c r="Z422" s="1">
        <v>79.599999999999994</v>
      </c>
      <c r="AC422" s="1">
        <v>15.8</v>
      </c>
      <c r="AH422" s="1">
        <v>4.0599999999999996</v>
      </c>
      <c r="AK422" s="1">
        <v>1.08954</v>
      </c>
      <c r="AL422" s="1">
        <v>0.61124999999999996</v>
      </c>
      <c r="AM422" s="1">
        <v>0.39721000000000001</v>
      </c>
    </row>
    <row r="423" spans="1:96" x14ac:dyDescent="0.2">
      <c r="A423" s="1" t="s">
        <v>3169</v>
      </c>
      <c r="B423" s="1" t="s">
        <v>55</v>
      </c>
      <c r="C423" s="1" t="s">
        <v>3093</v>
      </c>
      <c r="E423" s="1">
        <v>36</v>
      </c>
      <c r="F423" s="1" t="s">
        <v>3170</v>
      </c>
      <c r="G423" s="1" t="s">
        <v>3171</v>
      </c>
      <c r="H423" s="1" t="s">
        <v>3172</v>
      </c>
      <c r="I423" s="1" t="s">
        <v>7</v>
      </c>
      <c r="J423" s="1" t="s">
        <v>3173</v>
      </c>
      <c r="K423" s="1" t="s">
        <v>3174</v>
      </c>
      <c r="L423" s="1" t="s">
        <v>3173</v>
      </c>
      <c r="O423" s="1">
        <v>4</v>
      </c>
      <c r="Q423" s="1">
        <v>2004</v>
      </c>
      <c r="R423" s="1" t="s">
        <v>3099</v>
      </c>
      <c r="S423" s="1" t="s">
        <v>27</v>
      </c>
      <c r="T423" s="6">
        <v>1</v>
      </c>
      <c r="Z423" s="1">
        <v>74.8</v>
      </c>
      <c r="AC423" s="1">
        <v>17.8</v>
      </c>
      <c r="AH423" s="1">
        <v>4.21</v>
      </c>
      <c r="AK423" s="1">
        <v>0.72662000000000004</v>
      </c>
      <c r="AL423" s="1">
        <v>0.24354000000000001</v>
      </c>
      <c r="AM423" s="1">
        <v>0.76112000000000002</v>
      </c>
    </row>
    <row r="424" spans="1:96" x14ac:dyDescent="0.2">
      <c r="A424" s="1" t="s">
        <v>3175</v>
      </c>
      <c r="B424" s="1" t="s">
        <v>55</v>
      </c>
      <c r="C424" s="1" t="s">
        <v>3093</v>
      </c>
      <c r="E424" s="1">
        <v>33</v>
      </c>
      <c r="F424" s="1" t="s">
        <v>2510</v>
      </c>
      <c r="G424" s="1" t="s">
        <v>2511</v>
      </c>
      <c r="H424" s="1" t="s">
        <v>3176</v>
      </c>
      <c r="I424" s="1" t="s">
        <v>7</v>
      </c>
      <c r="J424" s="1" t="s">
        <v>2513</v>
      </c>
      <c r="K424" s="1" t="s">
        <v>2514</v>
      </c>
      <c r="L424" s="1" t="s">
        <v>2513</v>
      </c>
      <c r="O424" s="1">
        <v>4</v>
      </c>
      <c r="Q424" s="1">
        <v>2004</v>
      </c>
      <c r="R424" s="1" t="s">
        <v>3099</v>
      </c>
      <c r="S424" s="1" t="s">
        <v>27</v>
      </c>
      <c r="T424" s="6">
        <v>1</v>
      </c>
      <c r="Z424" s="1">
        <v>78.5</v>
      </c>
      <c r="AC424" s="1">
        <v>20</v>
      </c>
      <c r="AH424" s="1">
        <v>3.28</v>
      </c>
      <c r="AK424" s="1">
        <v>0.34151999999999999</v>
      </c>
      <c r="AL424" s="1">
        <v>0.45295000000000002</v>
      </c>
      <c r="AM424" s="1">
        <v>0.38255</v>
      </c>
    </row>
    <row r="425" spans="1:96" x14ac:dyDescent="0.2">
      <c r="A425" s="1" t="s">
        <v>3177</v>
      </c>
      <c r="B425" s="1" t="s">
        <v>55</v>
      </c>
      <c r="C425" s="1" t="s">
        <v>3093</v>
      </c>
      <c r="E425" s="1">
        <v>33</v>
      </c>
      <c r="F425" s="1" t="s">
        <v>3178</v>
      </c>
      <c r="G425" s="1" t="s">
        <v>2523</v>
      </c>
      <c r="H425" s="1" t="s">
        <v>3179</v>
      </c>
      <c r="I425" s="1" t="s">
        <v>7</v>
      </c>
      <c r="J425" s="1" t="s">
        <v>3180</v>
      </c>
      <c r="K425" s="1" t="s">
        <v>3181</v>
      </c>
      <c r="L425" s="1" t="s">
        <v>3180</v>
      </c>
      <c r="O425" s="1">
        <v>4</v>
      </c>
      <c r="Q425" s="1">
        <v>2004</v>
      </c>
      <c r="R425" s="1" t="s">
        <v>3099</v>
      </c>
      <c r="S425" s="1" t="s">
        <v>27</v>
      </c>
      <c r="T425" s="6">
        <v>1</v>
      </c>
      <c r="Z425" s="1">
        <v>73.8</v>
      </c>
      <c r="AC425" s="1">
        <v>17.899999999999999</v>
      </c>
      <c r="AH425" s="1">
        <v>5.01</v>
      </c>
      <c r="AK425" s="1">
        <v>0.85446999999999995</v>
      </c>
      <c r="AL425" s="1">
        <v>0.47677999999999998</v>
      </c>
      <c r="AM425" s="1">
        <v>0.59897999999999996</v>
      </c>
    </row>
    <row r="426" spans="1:96" x14ac:dyDescent="0.2">
      <c r="A426" s="1" t="s">
        <v>3182</v>
      </c>
      <c r="B426" s="1" t="s">
        <v>55</v>
      </c>
      <c r="C426" s="1" t="s">
        <v>3093</v>
      </c>
      <c r="E426" s="1">
        <v>33</v>
      </c>
      <c r="F426" s="1" t="s">
        <v>3183</v>
      </c>
      <c r="G426" s="1" t="s">
        <v>3184</v>
      </c>
      <c r="H426" s="1" t="s">
        <v>3185</v>
      </c>
      <c r="I426" s="1" t="s">
        <v>7</v>
      </c>
      <c r="J426" s="1" t="s">
        <v>3186</v>
      </c>
      <c r="K426" s="1" t="s">
        <v>3187</v>
      </c>
      <c r="L426" s="1" t="s">
        <v>3186</v>
      </c>
      <c r="O426" s="1">
        <v>4</v>
      </c>
      <c r="Q426" s="1">
        <v>2004</v>
      </c>
      <c r="R426" s="1" t="s">
        <v>3099</v>
      </c>
      <c r="S426" s="1" t="s">
        <v>27</v>
      </c>
      <c r="T426" s="6">
        <v>1</v>
      </c>
      <c r="Z426" s="1">
        <v>76.3</v>
      </c>
      <c r="AC426" s="1">
        <v>18.5</v>
      </c>
      <c r="AH426" s="1">
        <v>2.65</v>
      </c>
      <c r="AK426" s="1">
        <v>0.23326</v>
      </c>
      <c r="AL426" s="1">
        <v>0.20433000000000001</v>
      </c>
      <c r="AM426" s="1">
        <v>0.29397000000000001</v>
      </c>
    </row>
    <row r="427" spans="1:96" x14ac:dyDescent="0.2">
      <c r="A427" s="1" t="s">
        <v>3188</v>
      </c>
      <c r="B427" s="1" t="s">
        <v>55</v>
      </c>
      <c r="C427" s="1" t="s">
        <v>3093</v>
      </c>
      <c r="E427" s="1">
        <v>37</v>
      </c>
      <c r="F427" s="1" t="s">
        <v>3189</v>
      </c>
      <c r="G427" s="1" t="s">
        <v>3190</v>
      </c>
      <c r="H427" s="1" t="s">
        <v>3191</v>
      </c>
      <c r="I427" s="1" t="s">
        <v>7</v>
      </c>
      <c r="J427" s="1" t="s">
        <v>3192</v>
      </c>
      <c r="K427" s="1" t="s">
        <v>3193</v>
      </c>
      <c r="L427" s="1" t="s">
        <v>3192</v>
      </c>
      <c r="O427" s="1">
        <v>4</v>
      </c>
      <c r="Q427" s="1">
        <v>2004</v>
      </c>
      <c r="R427" s="1" t="s">
        <v>3099</v>
      </c>
      <c r="S427" s="1" t="s">
        <v>27</v>
      </c>
      <c r="T427" s="6">
        <v>1</v>
      </c>
      <c r="Z427" s="1">
        <v>72.400000000000006</v>
      </c>
      <c r="AC427" s="1">
        <v>19.899999999999999</v>
      </c>
      <c r="AH427" s="1">
        <v>7.29</v>
      </c>
      <c r="AK427" s="1">
        <v>0.91661999999999999</v>
      </c>
      <c r="AL427" s="1">
        <v>0.80239000000000005</v>
      </c>
      <c r="AM427" s="1">
        <v>0.96636</v>
      </c>
    </row>
    <row r="428" spans="1:96" x14ac:dyDescent="0.2">
      <c r="A428" s="1" t="s">
        <v>3194</v>
      </c>
      <c r="B428" s="1" t="s">
        <v>55</v>
      </c>
      <c r="C428" s="1" t="s">
        <v>2565</v>
      </c>
      <c r="D428" s="1" t="s">
        <v>2</v>
      </c>
      <c r="E428" s="1">
        <v>23</v>
      </c>
      <c r="F428" s="1" t="s">
        <v>1472</v>
      </c>
      <c r="H428" s="1" t="s">
        <v>3195</v>
      </c>
      <c r="I428" s="1" t="s">
        <v>7</v>
      </c>
      <c r="J428" s="1" t="s">
        <v>1474</v>
      </c>
      <c r="K428" s="1" t="s">
        <v>1475</v>
      </c>
      <c r="L428" s="1" t="s">
        <v>1474</v>
      </c>
      <c r="N428" s="1" t="s">
        <v>3196</v>
      </c>
      <c r="P428" s="1" t="s">
        <v>3197</v>
      </c>
      <c r="Q428" s="1">
        <v>2010</v>
      </c>
      <c r="R428" s="1" t="s">
        <v>3198</v>
      </c>
      <c r="S428" s="1" t="s">
        <v>27</v>
      </c>
      <c r="T428" s="6">
        <v>1</v>
      </c>
      <c r="Z428" s="1">
        <v>74.2</v>
      </c>
      <c r="AC428" s="1">
        <v>20.2</v>
      </c>
      <c r="AJ428" s="1">
        <v>4.7</v>
      </c>
      <c r="AV428" s="1">
        <v>1.3</v>
      </c>
      <c r="CR428" s="1">
        <v>4</v>
      </c>
    </row>
    <row r="429" spans="1:96" x14ac:dyDescent="0.2">
      <c r="A429" s="1" t="s">
        <v>3199</v>
      </c>
      <c r="B429" s="1" t="s">
        <v>55</v>
      </c>
      <c r="C429" s="1" t="s">
        <v>2565</v>
      </c>
      <c r="D429" s="1" t="s">
        <v>2</v>
      </c>
      <c r="E429" s="1">
        <v>23</v>
      </c>
      <c r="F429" s="1" t="s">
        <v>1472</v>
      </c>
      <c r="H429" s="1" t="s">
        <v>3200</v>
      </c>
      <c r="I429" s="1" t="s">
        <v>7</v>
      </c>
      <c r="J429" s="1" t="s">
        <v>1474</v>
      </c>
      <c r="K429" s="1" t="s">
        <v>1475</v>
      </c>
      <c r="L429" s="1" t="s">
        <v>1474</v>
      </c>
      <c r="N429" s="1" t="s">
        <v>3201</v>
      </c>
      <c r="P429" s="1" t="s">
        <v>3197</v>
      </c>
      <c r="Q429" s="1">
        <v>2010</v>
      </c>
      <c r="R429" s="1" t="s">
        <v>3198</v>
      </c>
      <c r="S429" s="1" t="s">
        <v>27</v>
      </c>
      <c r="T429" s="6">
        <v>1</v>
      </c>
      <c r="Z429" s="1">
        <v>77.7</v>
      </c>
      <c r="AC429" s="1">
        <v>19.899999999999999</v>
      </c>
      <c r="AJ429" s="1">
        <v>2.1</v>
      </c>
      <c r="AV429" s="1">
        <v>1.3</v>
      </c>
      <c r="CR429" s="1">
        <v>11</v>
      </c>
    </row>
    <row r="430" spans="1:96" x14ac:dyDescent="0.2">
      <c r="A430" s="1" t="s">
        <v>3202</v>
      </c>
      <c r="B430" s="1" t="s">
        <v>55</v>
      </c>
      <c r="C430" s="1" t="s">
        <v>2565</v>
      </c>
      <c r="D430" s="1" t="s">
        <v>2</v>
      </c>
      <c r="E430" s="1">
        <v>23</v>
      </c>
      <c r="F430" s="1" t="s">
        <v>1472</v>
      </c>
      <c r="H430" s="1" t="s">
        <v>3203</v>
      </c>
      <c r="I430" s="1" t="s">
        <v>7</v>
      </c>
      <c r="J430" s="1" t="s">
        <v>1474</v>
      </c>
      <c r="K430" s="1" t="s">
        <v>1475</v>
      </c>
      <c r="L430" s="1" t="s">
        <v>1474</v>
      </c>
      <c r="N430" s="1" t="s">
        <v>3204</v>
      </c>
      <c r="P430" s="1" t="s">
        <v>3197</v>
      </c>
      <c r="Q430" s="1">
        <v>2010</v>
      </c>
      <c r="R430" s="1" t="s">
        <v>3198</v>
      </c>
      <c r="S430" s="1" t="s">
        <v>27</v>
      </c>
      <c r="T430" s="6">
        <v>1</v>
      </c>
      <c r="Z430" s="1">
        <v>75.400000000000006</v>
      </c>
      <c r="AC430" s="1">
        <v>19.3</v>
      </c>
      <c r="AJ430" s="1">
        <v>4.2</v>
      </c>
      <c r="AV430" s="1">
        <v>1.3</v>
      </c>
      <c r="CR430" s="1">
        <v>11</v>
      </c>
    </row>
    <row r="431" spans="1:96" x14ac:dyDescent="0.2">
      <c r="A431" s="1" t="s">
        <v>3205</v>
      </c>
      <c r="B431" s="1" t="s">
        <v>55</v>
      </c>
      <c r="C431" s="1" t="s">
        <v>2565</v>
      </c>
      <c r="D431" s="1" t="s">
        <v>2</v>
      </c>
      <c r="E431" s="1">
        <v>23</v>
      </c>
      <c r="F431" s="1" t="s">
        <v>1472</v>
      </c>
      <c r="H431" s="1" t="s">
        <v>3206</v>
      </c>
      <c r="I431" s="1" t="s">
        <v>7</v>
      </c>
      <c r="J431" s="1" t="s">
        <v>1474</v>
      </c>
      <c r="K431" s="1" t="s">
        <v>1475</v>
      </c>
      <c r="L431" s="1" t="s">
        <v>1474</v>
      </c>
      <c r="N431" s="1" t="s">
        <v>3207</v>
      </c>
      <c r="P431" s="1" t="s">
        <v>3197</v>
      </c>
      <c r="Q431" s="1">
        <v>2010</v>
      </c>
      <c r="R431" s="1" t="s">
        <v>3198</v>
      </c>
      <c r="S431" s="1" t="s">
        <v>27</v>
      </c>
      <c r="T431" s="6">
        <v>1</v>
      </c>
      <c r="Z431" s="1">
        <v>76.7</v>
      </c>
      <c r="AC431" s="1">
        <v>19.7</v>
      </c>
      <c r="AJ431" s="1">
        <v>3.6</v>
      </c>
      <c r="AV431" s="1">
        <v>1.31</v>
      </c>
      <c r="CR431" s="1">
        <v>8</v>
      </c>
    </row>
    <row r="432" spans="1:96" x14ac:dyDescent="0.2">
      <c r="A432" s="1" t="s">
        <v>3208</v>
      </c>
      <c r="B432" s="1" t="s">
        <v>55</v>
      </c>
      <c r="C432" s="1" t="s">
        <v>2565</v>
      </c>
      <c r="D432" s="1" t="s">
        <v>2</v>
      </c>
      <c r="E432" s="1">
        <v>23</v>
      </c>
      <c r="F432" s="1" t="s">
        <v>1472</v>
      </c>
      <c r="H432" s="1" t="s">
        <v>3206</v>
      </c>
      <c r="I432" s="1" t="s">
        <v>7</v>
      </c>
      <c r="J432" s="1" t="s">
        <v>1474</v>
      </c>
      <c r="K432" s="1" t="s">
        <v>1475</v>
      </c>
      <c r="L432" s="1" t="s">
        <v>1474</v>
      </c>
      <c r="N432" s="1" t="s">
        <v>3209</v>
      </c>
      <c r="P432" s="1" t="s">
        <v>3197</v>
      </c>
      <c r="Q432" s="1">
        <v>2010</v>
      </c>
      <c r="R432" s="1" t="s">
        <v>3198</v>
      </c>
      <c r="S432" s="1" t="s">
        <v>27</v>
      </c>
      <c r="T432" s="6">
        <v>1</v>
      </c>
      <c r="Z432" s="1">
        <v>79</v>
      </c>
      <c r="AC432" s="1">
        <v>18.5</v>
      </c>
      <c r="AJ432" s="1">
        <v>1.7</v>
      </c>
      <c r="AV432" s="1">
        <v>1.2</v>
      </c>
      <c r="CR432" s="1">
        <v>8</v>
      </c>
    </row>
    <row r="433" spans="1:155" x14ac:dyDescent="0.2">
      <c r="A433" s="1" t="s">
        <v>3210</v>
      </c>
      <c r="B433" s="1" t="s">
        <v>55</v>
      </c>
      <c r="C433" s="1" t="s">
        <v>2565</v>
      </c>
      <c r="D433" s="1" t="s">
        <v>2</v>
      </c>
      <c r="E433" s="1">
        <v>23</v>
      </c>
      <c r="F433" s="1" t="s">
        <v>1472</v>
      </c>
      <c r="H433" s="1" t="s">
        <v>3211</v>
      </c>
      <c r="I433" s="1" t="s">
        <v>11</v>
      </c>
      <c r="J433" s="1" t="s">
        <v>1474</v>
      </c>
      <c r="K433" s="1" t="s">
        <v>1475</v>
      </c>
      <c r="L433" s="1" t="s">
        <v>1474</v>
      </c>
      <c r="N433" s="1" t="s">
        <v>3196</v>
      </c>
      <c r="P433" s="1" t="s">
        <v>3197</v>
      </c>
      <c r="Q433" s="1">
        <v>2010</v>
      </c>
      <c r="R433" s="1" t="s">
        <v>3198</v>
      </c>
      <c r="S433" s="1" t="s">
        <v>27</v>
      </c>
      <c r="T433" s="6">
        <v>1</v>
      </c>
      <c r="Z433" s="1">
        <v>70.8</v>
      </c>
      <c r="AC433" s="1">
        <v>21.4</v>
      </c>
      <c r="AJ433" s="1">
        <v>6.5</v>
      </c>
      <c r="AV433" s="1">
        <v>1.8</v>
      </c>
      <c r="BN433" s="1">
        <v>840</v>
      </c>
    </row>
    <row r="434" spans="1:155" x14ac:dyDescent="0.2">
      <c r="A434" s="1" t="s">
        <v>3212</v>
      </c>
      <c r="B434" s="1" t="s">
        <v>55</v>
      </c>
      <c r="C434" s="1" t="s">
        <v>2565</v>
      </c>
      <c r="D434" s="1" t="s">
        <v>2</v>
      </c>
      <c r="E434" s="1">
        <v>23</v>
      </c>
      <c r="F434" s="1" t="s">
        <v>1472</v>
      </c>
      <c r="H434" s="1" t="s">
        <v>3213</v>
      </c>
      <c r="I434" s="1" t="s">
        <v>11</v>
      </c>
      <c r="J434" s="1" t="s">
        <v>1474</v>
      </c>
      <c r="K434" s="1" t="s">
        <v>1475</v>
      </c>
      <c r="L434" s="1" t="s">
        <v>1474</v>
      </c>
      <c r="N434" s="1" t="s">
        <v>3196</v>
      </c>
      <c r="P434" s="1" t="s">
        <v>3197</v>
      </c>
      <c r="Q434" s="1">
        <v>2010</v>
      </c>
      <c r="R434" s="1" t="s">
        <v>3198</v>
      </c>
      <c r="S434" s="1" t="s">
        <v>27</v>
      </c>
      <c r="T434" s="6">
        <v>1</v>
      </c>
      <c r="Z434" s="1">
        <v>65.900000000000006</v>
      </c>
      <c r="AC434" s="1">
        <v>24.7</v>
      </c>
      <c r="AJ434" s="1">
        <v>7.1</v>
      </c>
      <c r="AV434" s="1">
        <v>2.4</v>
      </c>
      <c r="BN434" s="1">
        <v>1600</v>
      </c>
    </row>
    <row r="435" spans="1:155" x14ac:dyDescent="0.2">
      <c r="A435" s="1" t="s">
        <v>3214</v>
      </c>
      <c r="B435" s="1" t="s">
        <v>55</v>
      </c>
      <c r="C435" s="1" t="s">
        <v>236</v>
      </c>
      <c r="E435" s="1">
        <v>33</v>
      </c>
      <c r="F435" s="1" t="s">
        <v>3215</v>
      </c>
      <c r="H435" s="1" t="s">
        <v>3216</v>
      </c>
      <c r="I435" s="1" t="s">
        <v>7</v>
      </c>
      <c r="J435" s="1" t="s">
        <v>3217</v>
      </c>
      <c r="L435" s="1" t="s">
        <v>3218</v>
      </c>
      <c r="M435" s="1" t="s">
        <v>481</v>
      </c>
      <c r="O435" s="1">
        <v>1</v>
      </c>
      <c r="P435" s="1" t="s">
        <v>3219</v>
      </c>
      <c r="Q435" s="1">
        <v>1999</v>
      </c>
      <c r="R435" s="1" t="s">
        <v>3220</v>
      </c>
      <c r="S435" s="1" t="s">
        <v>27</v>
      </c>
      <c r="T435" s="6">
        <v>1</v>
      </c>
      <c r="AH435" s="1">
        <v>0.99</v>
      </c>
      <c r="EY435" s="1">
        <v>33.799999999999997</v>
      </c>
    </row>
    <row r="436" spans="1:155" x14ac:dyDescent="0.2">
      <c r="A436" s="1" t="s">
        <v>3221</v>
      </c>
      <c r="B436" s="1" t="s">
        <v>55</v>
      </c>
      <c r="C436" s="1" t="s">
        <v>236</v>
      </c>
      <c r="E436" s="1">
        <v>33</v>
      </c>
      <c r="F436" s="1" t="s">
        <v>3222</v>
      </c>
      <c r="H436" s="1" t="s">
        <v>3223</v>
      </c>
      <c r="I436" s="1" t="s">
        <v>7</v>
      </c>
      <c r="J436" s="1" t="s">
        <v>3224</v>
      </c>
      <c r="K436" s="1" t="s">
        <v>3225</v>
      </c>
      <c r="L436" s="1" t="s">
        <v>3224</v>
      </c>
      <c r="M436" s="1" t="s">
        <v>3226</v>
      </c>
      <c r="N436" s="1" t="s">
        <v>3227</v>
      </c>
      <c r="O436" s="1">
        <v>1</v>
      </c>
      <c r="P436" s="1" t="s">
        <v>3219</v>
      </c>
      <c r="Q436" s="1">
        <v>1999</v>
      </c>
      <c r="R436" s="1" t="s">
        <v>3220</v>
      </c>
      <c r="S436" s="1" t="s">
        <v>27</v>
      </c>
      <c r="T436" s="6">
        <v>1</v>
      </c>
      <c r="AH436" s="1">
        <v>1.6</v>
      </c>
      <c r="EY436" s="1">
        <v>58.3</v>
      </c>
    </row>
    <row r="437" spans="1:155" x14ac:dyDescent="0.2">
      <c r="A437" s="1" t="s">
        <v>3228</v>
      </c>
      <c r="B437" s="1" t="s">
        <v>55</v>
      </c>
      <c r="C437" s="1" t="s">
        <v>236</v>
      </c>
      <c r="E437" s="1">
        <v>33</v>
      </c>
      <c r="F437" s="1" t="s">
        <v>3222</v>
      </c>
      <c r="H437" s="1" t="s">
        <v>3223</v>
      </c>
      <c r="I437" s="1" t="s">
        <v>7</v>
      </c>
      <c r="J437" s="1" t="s">
        <v>3224</v>
      </c>
      <c r="K437" s="1" t="s">
        <v>3225</v>
      </c>
      <c r="L437" s="1" t="s">
        <v>3224</v>
      </c>
      <c r="M437" s="1" t="s">
        <v>2890</v>
      </c>
      <c r="N437" s="1" t="s">
        <v>3229</v>
      </c>
      <c r="O437" s="1">
        <v>1</v>
      </c>
      <c r="P437" s="1" t="s">
        <v>3219</v>
      </c>
      <c r="Q437" s="1">
        <v>1999</v>
      </c>
      <c r="R437" s="1" t="s">
        <v>3220</v>
      </c>
      <c r="S437" s="1" t="s">
        <v>27</v>
      </c>
      <c r="T437" s="6">
        <v>1</v>
      </c>
      <c r="AH437" s="1">
        <v>0.72</v>
      </c>
      <c r="EY437" s="1">
        <v>56.9</v>
      </c>
    </row>
    <row r="438" spans="1:155" x14ac:dyDescent="0.2">
      <c r="A438" s="1" t="s">
        <v>3230</v>
      </c>
      <c r="B438" s="1" t="s">
        <v>55</v>
      </c>
      <c r="C438" s="1" t="s">
        <v>236</v>
      </c>
      <c r="E438" s="1">
        <v>34</v>
      </c>
      <c r="F438" s="1" t="s">
        <v>3231</v>
      </c>
      <c r="H438" s="1" t="s">
        <v>3232</v>
      </c>
      <c r="I438" s="1" t="s">
        <v>7</v>
      </c>
      <c r="J438" s="1" t="s">
        <v>3233</v>
      </c>
      <c r="K438" s="1" t="s">
        <v>3234</v>
      </c>
      <c r="L438" s="1" t="s">
        <v>3235</v>
      </c>
      <c r="O438" s="1">
        <v>1</v>
      </c>
      <c r="P438" s="1" t="s">
        <v>3219</v>
      </c>
      <c r="Q438" s="1">
        <v>1999</v>
      </c>
      <c r="R438" s="1" t="s">
        <v>3220</v>
      </c>
      <c r="S438" s="1" t="s">
        <v>27</v>
      </c>
      <c r="T438" s="6">
        <v>1</v>
      </c>
      <c r="AH438" s="1">
        <v>2.4</v>
      </c>
      <c r="EY438" s="1">
        <v>59.9</v>
      </c>
    </row>
    <row r="439" spans="1:155" x14ac:dyDescent="0.2">
      <c r="A439" s="1" t="s">
        <v>3236</v>
      </c>
      <c r="B439" s="1" t="s">
        <v>55</v>
      </c>
      <c r="C439" s="1" t="s">
        <v>236</v>
      </c>
      <c r="E439" s="1">
        <v>37</v>
      </c>
      <c r="F439" s="1" t="s">
        <v>3237</v>
      </c>
      <c r="H439" s="1" t="s">
        <v>3238</v>
      </c>
      <c r="I439" s="1" t="s">
        <v>7</v>
      </c>
      <c r="J439" s="1" t="s">
        <v>3239</v>
      </c>
      <c r="K439" s="1" t="s">
        <v>3240</v>
      </c>
      <c r="L439" s="1" t="s">
        <v>3239</v>
      </c>
      <c r="M439" s="1" t="s">
        <v>817</v>
      </c>
      <c r="N439" s="1" t="s">
        <v>3241</v>
      </c>
      <c r="O439" s="1">
        <v>1</v>
      </c>
      <c r="P439" s="1" t="s">
        <v>3219</v>
      </c>
      <c r="Q439" s="1">
        <v>1999</v>
      </c>
      <c r="R439" s="1" t="s">
        <v>3220</v>
      </c>
      <c r="S439" s="1" t="s">
        <v>27</v>
      </c>
      <c r="T439" s="6">
        <v>1</v>
      </c>
      <c r="AH439" s="1">
        <v>0.86</v>
      </c>
      <c r="EY439" s="1">
        <v>55</v>
      </c>
    </row>
    <row r="440" spans="1:155" x14ac:dyDescent="0.2">
      <c r="A440" s="1" t="s">
        <v>3242</v>
      </c>
      <c r="B440" s="1" t="s">
        <v>55</v>
      </c>
      <c r="C440" s="1" t="s">
        <v>236</v>
      </c>
      <c r="E440" s="1">
        <v>31</v>
      </c>
      <c r="F440" s="1" t="s">
        <v>3243</v>
      </c>
      <c r="H440" s="1" t="s">
        <v>3244</v>
      </c>
      <c r="I440" s="1" t="s">
        <v>7</v>
      </c>
      <c r="J440" s="1" t="s">
        <v>3245</v>
      </c>
      <c r="L440" s="1" t="s">
        <v>3246</v>
      </c>
      <c r="M440" s="1" t="s">
        <v>2890</v>
      </c>
      <c r="N440" s="1" t="s">
        <v>3247</v>
      </c>
      <c r="O440" s="1">
        <v>1</v>
      </c>
      <c r="P440" s="1" t="s">
        <v>3219</v>
      </c>
      <c r="Q440" s="1">
        <v>1999</v>
      </c>
      <c r="R440" s="1" t="s">
        <v>3220</v>
      </c>
      <c r="S440" s="1" t="s">
        <v>27</v>
      </c>
      <c r="T440" s="6">
        <v>1</v>
      </c>
      <c r="AH440" s="1">
        <v>0.3</v>
      </c>
      <c r="EY440" s="1">
        <v>64.7</v>
      </c>
    </row>
    <row r="441" spans="1:155" x14ac:dyDescent="0.2">
      <c r="A441" s="1" t="s">
        <v>3248</v>
      </c>
      <c r="B441" s="1" t="s">
        <v>55</v>
      </c>
      <c r="C441" s="1" t="s">
        <v>236</v>
      </c>
      <c r="E441" s="1">
        <v>31</v>
      </c>
      <c r="F441" s="1" t="s">
        <v>3243</v>
      </c>
      <c r="H441" s="1" t="s">
        <v>3244</v>
      </c>
      <c r="I441" s="1" t="s">
        <v>7</v>
      </c>
      <c r="J441" s="1" t="s">
        <v>3245</v>
      </c>
      <c r="L441" s="1" t="s">
        <v>3246</v>
      </c>
      <c r="M441" s="1" t="s">
        <v>2890</v>
      </c>
      <c r="N441" s="1" t="s">
        <v>3249</v>
      </c>
      <c r="O441" s="1">
        <v>1</v>
      </c>
      <c r="P441" s="1" t="s">
        <v>3219</v>
      </c>
      <c r="Q441" s="1">
        <v>1999</v>
      </c>
      <c r="R441" s="1" t="s">
        <v>3220</v>
      </c>
      <c r="S441" s="1" t="s">
        <v>27</v>
      </c>
      <c r="T441" s="6">
        <v>1</v>
      </c>
      <c r="AH441" s="1">
        <v>0.55000000000000004</v>
      </c>
      <c r="EY441" s="1">
        <v>51.9</v>
      </c>
    </row>
    <row r="442" spans="1:155" x14ac:dyDescent="0.2">
      <c r="A442" s="1" t="s">
        <v>3250</v>
      </c>
      <c r="B442" s="1" t="s">
        <v>55</v>
      </c>
      <c r="C442" s="1" t="s">
        <v>236</v>
      </c>
      <c r="E442" s="1">
        <v>37</v>
      </c>
      <c r="F442" s="1" t="s">
        <v>2036</v>
      </c>
      <c r="H442" s="1" t="s">
        <v>3251</v>
      </c>
      <c r="I442" s="1" t="s">
        <v>7</v>
      </c>
      <c r="J442" s="1" t="s">
        <v>3252</v>
      </c>
      <c r="K442" s="1" t="s">
        <v>2040</v>
      </c>
      <c r="L442" s="1" t="s">
        <v>3252</v>
      </c>
      <c r="M442" s="1" t="s">
        <v>817</v>
      </c>
      <c r="N442" s="1" t="s">
        <v>3253</v>
      </c>
      <c r="O442" s="1">
        <v>1</v>
      </c>
      <c r="P442" s="1" t="s">
        <v>3219</v>
      </c>
      <c r="Q442" s="1">
        <v>1999</v>
      </c>
      <c r="R442" s="1" t="s">
        <v>3220</v>
      </c>
      <c r="S442" s="1" t="s">
        <v>27</v>
      </c>
      <c r="T442" s="6">
        <v>1</v>
      </c>
      <c r="AH442" s="1">
        <v>1.6</v>
      </c>
      <c r="EY442" s="1">
        <v>59.1</v>
      </c>
    </row>
    <row r="443" spans="1:155" x14ac:dyDescent="0.2">
      <c r="A443" s="1" t="s">
        <v>3254</v>
      </c>
      <c r="B443" s="1" t="s">
        <v>55</v>
      </c>
      <c r="C443" s="1" t="s">
        <v>236</v>
      </c>
      <c r="E443" s="1">
        <v>37</v>
      </c>
      <c r="F443" s="1" t="s">
        <v>2036</v>
      </c>
      <c r="H443" s="1" t="s">
        <v>3255</v>
      </c>
      <c r="I443" s="1" t="s">
        <v>7</v>
      </c>
      <c r="J443" s="1" t="s">
        <v>3252</v>
      </c>
      <c r="K443" s="1" t="s">
        <v>2040</v>
      </c>
      <c r="L443" s="1" t="s">
        <v>3252</v>
      </c>
      <c r="M443" s="1" t="s">
        <v>2890</v>
      </c>
      <c r="N443" s="1" t="s">
        <v>3253</v>
      </c>
      <c r="O443" s="1">
        <v>1</v>
      </c>
      <c r="P443" s="1" t="s">
        <v>3219</v>
      </c>
      <c r="Q443" s="1">
        <v>1999</v>
      </c>
      <c r="R443" s="1" t="s">
        <v>3220</v>
      </c>
      <c r="S443" s="1" t="s">
        <v>27</v>
      </c>
      <c r="T443" s="6">
        <v>1</v>
      </c>
      <c r="AH443" s="1">
        <v>1.88</v>
      </c>
      <c r="EY443" s="1">
        <v>62.3</v>
      </c>
    </row>
    <row r="444" spans="1:155" x14ac:dyDescent="0.2">
      <c r="A444" s="1" t="s">
        <v>3256</v>
      </c>
      <c r="B444" s="1" t="s">
        <v>55</v>
      </c>
      <c r="C444" s="1" t="s">
        <v>236</v>
      </c>
      <c r="E444" s="1">
        <v>37</v>
      </c>
      <c r="F444" s="1" t="s">
        <v>3257</v>
      </c>
      <c r="H444" s="1" t="s">
        <v>3258</v>
      </c>
      <c r="I444" s="1" t="s">
        <v>7</v>
      </c>
      <c r="J444" s="1" t="s">
        <v>3259</v>
      </c>
      <c r="K444" s="1" t="s">
        <v>3260</v>
      </c>
      <c r="L444" s="1" t="s">
        <v>3261</v>
      </c>
      <c r="N444" s="1" t="s">
        <v>3262</v>
      </c>
      <c r="O444" s="1">
        <v>1</v>
      </c>
      <c r="P444" s="1" t="s">
        <v>3219</v>
      </c>
      <c r="Q444" s="1">
        <v>1999</v>
      </c>
      <c r="R444" s="1" t="s">
        <v>3220</v>
      </c>
      <c r="S444" s="1" t="s">
        <v>27</v>
      </c>
      <c r="T444" s="6">
        <v>1</v>
      </c>
      <c r="AH444" s="1">
        <v>1.04</v>
      </c>
      <c r="EY444" s="1">
        <v>55</v>
      </c>
    </row>
    <row r="445" spans="1:155" x14ac:dyDescent="0.2">
      <c r="A445" s="1" t="s">
        <v>3263</v>
      </c>
      <c r="B445" s="1" t="s">
        <v>55</v>
      </c>
      <c r="C445" s="1" t="s">
        <v>236</v>
      </c>
      <c r="E445" s="1">
        <v>37</v>
      </c>
      <c r="F445" s="1" t="s">
        <v>3153</v>
      </c>
      <c r="H445" s="1" t="s">
        <v>3264</v>
      </c>
      <c r="I445" s="1" t="s">
        <v>7</v>
      </c>
      <c r="J445" s="1" t="s">
        <v>3156</v>
      </c>
      <c r="K445" s="1" t="s">
        <v>3157</v>
      </c>
      <c r="L445" s="1" t="s">
        <v>3156</v>
      </c>
      <c r="M445" s="1" t="s">
        <v>481</v>
      </c>
      <c r="N445" s="1" t="s">
        <v>3265</v>
      </c>
      <c r="O445" s="1">
        <v>1</v>
      </c>
      <c r="P445" s="1" t="s">
        <v>3219</v>
      </c>
      <c r="Q445" s="1">
        <v>1999</v>
      </c>
      <c r="R445" s="1" t="s">
        <v>3220</v>
      </c>
      <c r="S445" s="1" t="s">
        <v>27</v>
      </c>
      <c r="T445" s="6">
        <v>1</v>
      </c>
      <c r="AH445" s="1">
        <v>7.11</v>
      </c>
      <c r="EY445" s="1">
        <v>52.6</v>
      </c>
    </row>
    <row r="446" spans="1:155" x14ac:dyDescent="0.2">
      <c r="A446" s="1" t="s">
        <v>3266</v>
      </c>
      <c r="B446" s="1" t="s">
        <v>55</v>
      </c>
      <c r="C446" s="1" t="s">
        <v>236</v>
      </c>
      <c r="E446" s="1">
        <v>37</v>
      </c>
      <c r="F446" s="1" t="s">
        <v>3267</v>
      </c>
      <c r="H446" s="1" t="s">
        <v>3268</v>
      </c>
      <c r="I446" s="1" t="s">
        <v>7</v>
      </c>
      <c r="J446" s="1" t="s">
        <v>3269</v>
      </c>
      <c r="K446" s="1" t="s">
        <v>3270</v>
      </c>
      <c r="L446" s="1" t="s">
        <v>3269</v>
      </c>
      <c r="M446" s="1" t="s">
        <v>2890</v>
      </c>
      <c r="O446" s="1">
        <v>1</v>
      </c>
      <c r="P446" s="1" t="s">
        <v>3219</v>
      </c>
      <c r="Q446" s="1">
        <v>1999</v>
      </c>
      <c r="R446" s="1" t="s">
        <v>3220</v>
      </c>
      <c r="S446" s="1" t="s">
        <v>27</v>
      </c>
      <c r="T446" s="6">
        <v>1</v>
      </c>
      <c r="AH446" s="1">
        <v>1.02</v>
      </c>
      <c r="EY446" s="1">
        <v>48.1</v>
      </c>
    </row>
    <row r="447" spans="1:155" x14ac:dyDescent="0.2">
      <c r="A447" s="1" t="s">
        <v>3271</v>
      </c>
      <c r="B447" s="1" t="s">
        <v>55</v>
      </c>
      <c r="C447" s="1" t="s">
        <v>236</v>
      </c>
      <c r="E447" s="1">
        <v>37</v>
      </c>
      <c r="F447" s="1" t="s">
        <v>3257</v>
      </c>
      <c r="H447" s="1" t="s">
        <v>3258</v>
      </c>
      <c r="I447" s="1" t="s">
        <v>7</v>
      </c>
      <c r="J447" s="1" t="s">
        <v>3259</v>
      </c>
      <c r="K447" s="1" t="s">
        <v>3260</v>
      </c>
      <c r="L447" s="1" t="s">
        <v>3261</v>
      </c>
      <c r="M447" s="1" t="s">
        <v>481</v>
      </c>
      <c r="N447" s="1" t="s">
        <v>3272</v>
      </c>
      <c r="O447" s="1">
        <v>1</v>
      </c>
      <c r="P447" s="1" t="s">
        <v>3219</v>
      </c>
      <c r="Q447" s="1">
        <v>1999</v>
      </c>
      <c r="R447" s="1" t="s">
        <v>3220</v>
      </c>
      <c r="S447" s="1" t="s">
        <v>27</v>
      </c>
      <c r="T447" s="6">
        <v>1</v>
      </c>
      <c r="AH447" s="1">
        <v>1.94</v>
      </c>
      <c r="EY447" s="1">
        <v>47.4</v>
      </c>
    </row>
    <row r="448" spans="1:155" x14ac:dyDescent="0.2">
      <c r="A448" s="1" t="s">
        <v>3273</v>
      </c>
      <c r="B448" s="1" t="s">
        <v>55</v>
      </c>
      <c r="C448" s="1" t="s">
        <v>236</v>
      </c>
      <c r="E448" s="1">
        <v>37</v>
      </c>
      <c r="F448" s="1" t="s">
        <v>2036</v>
      </c>
      <c r="H448" s="1" t="s">
        <v>3251</v>
      </c>
      <c r="I448" s="1" t="s">
        <v>7</v>
      </c>
      <c r="J448" s="1" t="s">
        <v>3252</v>
      </c>
      <c r="K448" s="1" t="s">
        <v>2040</v>
      </c>
      <c r="L448" s="1" t="s">
        <v>3252</v>
      </c>
      <c r="M448" s="1" t="s">
        <v>2890</v>
      </c>
      <c r="N448" s="1" t="s">
        <v>3274</v>
      </c>
      <c r="O448" s="1">
        <v>1</v>
      </c>
      <c r="P448" s="1" t="s">
        <v>3219</v>
      </c>
      <c r="Q448" s="1">
        <v>1999</v>
      </c>
      <c r="R448" s="1" t="s">
        <v>3220</v>
      </c>
      <c r="S448" s="1" t="s">
        <v>27</v>
      </c>
      <c r="T448" s="6">
        <v>1</v>
      </c>
      <c r="AH448" s="1">
        <v>0.64</v>
      </c>
      <c r="EY448" s="1">
        <v>50.9</v>
      </c>
    </row>
    <row r="449" spans="1:155" x14ac:dyDescent="0.2">
      <c r="A449" s="1" t="s">
        <v>3275</v>
      </c>
      <c r="B449" s="1" t="s">
        <v>55</v>
      </c>
      <c r="C449" s="1" t="s">
        <v>236</v>
      </c>
      <c r="E449" s="1">
        <v>37</v>
      </c>
      <c r="F449" s="1" t="s">
        <v>2017</v>
      </c>
      <c r="H449" s="1" t="s">
        <v>3276</v>
      </c>
      <c r="I449" s="1" t="s">
        <v>7</v>
      </c>
      <c r="J449" s="1" t="s">
        <v>2020</v>
      </c>
      <c r="K449" s="1" t="s">
        <v>2021</v>
      </c>
      <c r="L449" s="1" t="s">
        <v>2020</v>
      </c>
      <c r="M449" s="1" t="s">
        <v>2890</v>
      </c>
      <c r="N449" s="1" t="s">
        <v>3277</v>
      </c>
      <c r="O449" s="1">
        <v>1</v>
      </c>
      <c r="P449" s="1" t="s">
        <v>3219</v>
      </c>
      <c r="Q449" s="1">
        <v>1999</v>
      </c>
      <c r="R449" s="1" t="s">
        <v>3220</v>
      </c>
      <c r="S449" s="1" t="s">
        <v>27</v>
      </c>
      <c r="T449" s="6">
        <v>1</v>
      </c>
      <c r="AH449" s="1">
        <v>1.0900000000000001</v>
      </c>
      <c r="EY449" s="1">
        <v>60.2</v>
      </c>
    </row>
    <row r="450" spans="1:155" x14ac:dyDescent="0.2">
      <c r="A450" s="1" t="s">
        <v>3278</v>
      </c>
      <c r="B450" s="1" t="s">
        <v>55</v>
      </c>
      <c r="C450" s="1" t="s">
        <v>236</v>
      </c>
      <c r="E450" s="1">
        <v>37</v>
      </c>
      <c r="F450" s="1" t="s">
        <v>3279</v>
      </c>
      <c r="H450" s="1" t="s">
        <v>3280</v>
      </c>
      <c r="I450" s="1" t="s">
        <v>7</v>
      </c>
      <c r="J450" s="1" t="s">
        <v>3281</v>
      </c>
      <c r="K450" s="1" t="s">
        <v>3282</v>
      </c>
      <c r="L450" s="1" t="s">
        <v>3281</v>
      </c>
      <c r="M450" s="1" t="s">
        <v>2890</v>
      </c>
      <c r="N450" s="1" t="s">
        <v>3283</v>
      </c>
      <c r="O450" s="1">
        <v>1</v>
      </c>
      <c r="P450" s="1" t="s">
        <v>3219</v>
      </c>
      <c r="Q450" s="1">
        <v>1999</v>
      </c>
      <c r="R450" s="1" t="s">
        <v>3220</v>
      </c>
      <c r="S450" s="1" t="s">
        <v>27</v>
      </c>
      <c r="T450" s="6">
        <v>1</v>
      </c>
      <c r="AH450" s="1">
        <v>1.34</v>
      </c>
      <c r="EY450" s="1">
        <v>67.599999999999994</v>
      </c>
    </row>
    <row r="451" spans="1:155" x14ac:dyDescent="0.2">
      <c r="A451" s="1" t="s">
        <v>3284</v>
      </c>
      <c r="B451" s="1" t="s">
        <v>55</v>
      </c>
      <c r="C451" s="1" t="s">
        <v>236</v>
      </c>
      <c r="E451" s="1">
        <v>37</v>
      </c>
      <c r="F451" s="1" t="s">
        <v>3267</v>
      </c>
      <c r="H451" s="1" t="s">
        <v>3268</v>
      </c>
      <c r="I451" s="1" t="s">
        <v>7</v>
      </c>
      <c r="J451" s="1" t="s">
        <v>3269</v>
      </c>
      <c r="K451" s="1" t="s">
        <v>3270</v>
      </c>
      <c r="L451" s="1" t="s">
        <v>3269</v>
      </c>
      <c r="M451" s="1" t="s">
        <v>2890</v>
      </c>
      <c r="N451" s="1" t="s">
        <v>3285</v>
      </c>
      <c r="O451" s="1">
        <v>1</v>
      </c>
      <c r="P451" s="1" t="s">
        <v>3219</v>
      </c>
      <c r="Q451" s="1">
        <v>1999</v>
      </c>
      <c r="R451" s="1" t="s">
        <v>3220</v>
      </c>
      <c r="S451" s="1" t="s">
        <v>27</v>
      </c>
      <c r="T451" s="6">
        <v>1</v>
      </c>
      <c r="AH451" s="1">
        <v>0.88</v>
      </c>
      <c r="EY451" s="1">
        <v>55.1</v>
      </c>
    </row>
    <row r="452" spans="1:155" x14ac:dyDescent="0.2">
      <c r="A452" s="1" t="s">
        <v>3286</v>
      </c>
      <c r="B452" s="1" t="s">
        <v>55</v>
      </c>
      <c r="C452" s="1" t="s">
        <v>236</v>
      </c>
      <c r="E452" s="1">
        <v>37</v>
      </c>
      <c r="F452" s="1" t="s">
        <v>2036</v>
      </c>
      <c r="H452" s="1" t="s">
        <v>3251</v>
      </c>
      <c r="I452" s="1" t="s">
        <v>7</v>
      </c>
      <c r="J452" s="1" t="s">
        <v>3252</v>
      </c>
      <c r="K452" s="1" t="s">
        <v>2040</v>
      </c>
      <c r="L452" s="1" t="s">
        <v>3252</v>
      </c>
      <c r="M452" s="1" t="s">
        <v>2890</v>
      </c>
      <c r="N452" s="1" t="s">
        <v>3287</v>
      </c>
      <c r="O452" s="1">
        <v>1</v>
      </c>
      <c r="P452" s="1" t="s">
        <v>3219</v>
      </c>
      <c r="Q452" s="1">
        <v>1999</v>
      </c>
      <c r="R452" s="1" t="s">
        <v>3220</v>
      </c>
      <c r="S452" s="1" t="s">
        <v>27</v>
      </c>
      <c r="T452" s="6">
        <v>1</v>
      </c>
      <c r="AH452" s="1">
        <v>1.01</v>
      </c>
      <c r="EY452" s="1">
        <v>55.1</v>
      </c>
    </row>
    <row r="453" spans="1:155" x14ac:dyDescent="0.2">
      <c r="A453" s="1" t="s">
        <v>3288</v>
      </c>
      <c r="B453" s="1" t="s">
        <v>55</v>
      </c>
      <c r="C453" s="1" t="s">
        <v>236</v>
      </c>
      <c r="E453" s="1">
        <v>37</v>
      </c>
      <c r="F453" s="1" t="s">
        <v>3289</v>
      </c>
      <c r="H453" s="1" t="s">
        <v>3290</v>
      </c>
      <c r="I453" s="1" t="s">
        <v>7</v>
      </c>
      <c r="J453" s="1" t="s">
        <v>3291</v>
      </c>
      <c r="K453" s="1" t="s">
        <v>3292</v>
      </c>
      <c r="L453" s="1" t="s">
        <v>3291</v>
      </c>
      <c r="M453" s="1" t="s">
        <v>2890</v>
      </c>
      <c r="N453" s="1" t="s">
        <v>3293</v>
      </c>
      <c r="O453" s="1">
        <v>1</v>
      </c>
      <c r="P453" s="1" t="s">
        <v>3219</v>
      </c>
      <c r="Q453" s="1">
        <v>1999</v>
      </c>
      <c r="R453" s="1" t="s">
        <v>3220</v>
      </c>
      <c r="S453" s="1" t="s">
        <v>27</v>
      </c>
      <c r="T453" s="6">
        <v>1</v>
      </c>
      <c r="AH453" s="1">
        <v>1.61</v>
      </c>
      <c r="EY453" s="1">
        <v>55.9</v>
      </c>
    </row>
    <row r="454" spans="1:155" x14ac:dyDescent="0.2">
      <c r="A454" s="1" t="s">
        <v>3294</v>
      </c>
      <c r="B454" s="1" t="s">
        <v>55</v>
      </c>
      <c r="C454" s="1" t="s">
        <v>236</v>
      </c>
      <c r="E454" s="1">
        <v>37</v>
      </c>
      <c r="F454" s="1" t="s">
        <v>3289</v>
      </c>
      <c r="H454" s="1" t="s">
        <v>3290</v>
      </c>
      <c r="I454" s="1" t="s">
        <v>7</v>
      </c>
      <c r="J454" s="1" t="s">
        <v>3291</v>
      </c>
      <c r="K454" s="1" t="s">
        <v>3292</v>
      </c>
      <c r="L454" s="1" t="s">
        <v>3291</v>
      </c>
      <c r="O454" s="1">
        <v>1</v>
      </c>
      <c r="P454" s="1" t="s">
        <v>3219</v>
      </c>
      <c r="Q454" s="1">
        <v>1999</v>
      </c>
      <c r="R454" s="1" t="s">
        <v>3220</v>
      </c>
      <c r="S454" s="1" t="s">
        <v>27</v>
      </c>
      <c r="T454" s="6">
        <v>1</v>
      </c>
      <c r="AH454" s="1">
        <v>1.1599999999999999</v>
      </c>
      <c r="EY454" s="1">
        <v>47.6</v>
      </c>
    </row>
    <row r="455" spans="1:155" x14ac:dyDescent="0.2">
      <c r="A455" s="1" t="s">
        <v>3295</v>
      </c>
      <c r="B455" s="1" t="s">
        <v>55</v>
      </c>
      <c r="C455" s="1" t="s">
        <v>236</v>
      </c>
      <c r="E455" s="1">
        <v>37</v>
      </c>
      <c r="F455" s="1" t="s">
        <v>3153</v>
      </c>
      <c r="H455" s="1" t="s">
        <v>3264</v>
      </c>
      <c r="I455" s="1" t="s">
        <v>7</v>
      </c>
      <c r="J455" s="1" t="s">
        <v>3156</v>
      </c>
      <c r="K455" s="1" t="s">
        <v>3157</v>
      </c>
      <c r="L455" s="1" t="s">
        <v>3156</v>
      </c>
      <c r="M455" s="1" t="s">
        <v>2890</v>
      </c>
      <c r="N455" s="1" t="s">
        <v>3296</v>
      </c>
      <c r="O455" s="1">
        <v>1</v>
      </c>
      <c r="P455" s="1" t="s">
        <v>3219</v>
      </c>
      <c r="Q455" s="1">
        <v>1999</v>
      </c>
      <c r="R455" s="1" t="s">
        <v>3220</v>
      </c>
      <c r="S455" s="1" t="s">
        <v>27</v>
      </c>
      <c r="T455" s="6">
        <v>1</v>
      </c>
      <c r="AH455" s="1">
        <v>1.01</v>
      </c>
      <c r="EY455" s="1">
        <v>67.3</v>
      </c>
    </row>
    <row r="456" spans="1:155" x14ac:dyDescent="0.2">
      <c r="A456" s="1" t="s">
        <v>3297</v>
      </c>
      <c r="B456" s="1" t="s">
        <v>55</v>
      </c>
      <c r="C456" s="1" t="s">
        <v>236</v>
      </c>
      <c r="E456" s="1">
        <v>37</v>
      </c>
      <c r="F456" s="1" t="s">
        <v>2390</v>
      </c>
      <c r="H456" s="1" t="s">
        <v>3298</v>
      </c>
      <c r="I456" s="1" t="s">
        <v>7</v>
      </c>
      <c r="J456" s="1" t="s">
        <v>3299</v>
      </c>
      <c r="K456" s="1" t="s">
        <v>2393</v>
      </c>
      <c r="L456" s="1" t="s">
        <v>2394</v>
      </c>
      <c r="M456" s="1" t="s">
        <v>2890</v>
      </c>
      <c r="N456" s="1" t="s">
        <v>3300</v>
      </c>
      <c r="O456" s="1">
        <v>1</v>
      </c>
      <c r="P456" s="1" t="s">
        <v>3219</v>
      </c>
      <c r="Q456" s="1">
        <v>1999</v>
      </c>
      <c r="R456" s="1" t="s">
        <v>3220</v>
      </c>
      <c r="S456" s="1" t="s">
        <v>27</v>
      </c>
      <c r="T456" s="6">
        <v>1</v>
      </c>
      <c r="AH456" s="1">
        <v>1.73</v>
      </c>
      <c r="EY456" s="1">
        <v>73.7</v>
      </c>
    </row>
    <row r="457" spans="1:155" x14ac:dyDescent="0.2">
      <c r="A457" s="1" t="s">
        <v>3301</v>
      </c>
      <c r="B457" s="1" t="s">
        <v>55</v>
      </c>
      <c r="C457" s="1" t="s">
        <v>236</v>
      </c>
      <c r="E457" s="1">
        <v>37</v>
      </c>
      <c r="F457" s="1" t="s">
        <v>3302</v>
      </c>
      <c r="H457" s="1" t="s">
        <v>3303</v>
      </c>
      <c r="I457" s="1" t="s">
        <v>7</v>
      </c>
      <c r="J457" s="1" t="s">
        <v>3304</v>
      </c>
      <c r="K457" s="1" t="s">
        <v>3305</v>
      </c>
      <c r="L457" s="1" t="s">
        <v>3306</v>
      </c>
      <c r="M457" s="1" t="s">
        <v>2890</v>
      </c>
      <c r="N457" s="1" t="s">
        <v>3307</v>
      </c>
      <c r="O457" s="1">
        <v>1</v>
      </c>
      <c r="P457" s="1" t="s">
        <v>3219</v>
      </c>
      <c r="Q457" s="1">
        <v>1999</v>
      </c>
      <c r="R457" s="1" t="s">
        <v>3220</v>
      </c>
      <c r="S457" s="1" t="s">
        <v>27</v>
      </c>
      <c r="T457" s="6">
        <v>1</v>
      </c>
      <c r="AH457" s="1">
        <v>3.41</v>
      </c>
      <c r="EY457" s="1">
        <v>64.599999999999994</v>
      </c>
    </row>
    <row r="458" spans="1:155" x14ac:dyDescent="0.2">
      <c r="A458" s="1" t="s">
        <v>3308</v>
      </c>
      <c r="B458" s="1" t="s">
        <v>55</v>
      </c>
      <c r="C458" s="1" t="s">
        <v>236</v>
      </c>
      <c r="E458" s="1">
        <v>37</v>
      </c>
      <c r="F458" s="1" t="s">
        <v>3302</v>
      </c>
      <c r="H458" s="1" t="s">
        <v>3303</v>
      </c>
      <c r="I458" s="1" t="s">
        <v>7</v>
      </c>
      <c r="J458" s="1" t="s">
        <v>3309</v>
      </c>
      <c r="K458" s="1" t="s">
        <v>3305</v>
      </c>
      <c r="L458" s="1" t="s">
        <v>3306</v>
      </c>
      <c r="M458" s="1" t="s">
        <v>2890</v>
      </c>
      <c r="N458" s="1" t="s">
        <v>3310</v>
      </c>
      <c r="O458" s="1">
        <v>1</v>
      </c>
      <c r="P458" s="1" t="s">
        <v>3219</v>
      </c>
      <c r="Q458" s="1">
        <v>1999</v>
      </c>
      <c r="R458" s="1" t="s">
        <v>3220</v>
      </c>
      <c r="S458" s="1" t="s">
        <v>27</v>
      </c>
      <c r="T458" s="6">
        <v>1</v>
      </c>
      <c r="AH458" s="1">
        <v>1.52</v>
      </c>
      <c r="EY458" s="1">
        <v>57.1</v>
      </c>
    </row>
    <row r="459" spans="1:155" x14ac:dyDescent="0.2">
      <c r="A459" s="1" t="s">
        <v>3311</v>
      </c>
      <c r="B459" s="1" t="s">
        <v>55</v>
      </c>
      <c r="C459" s="1" t="s">
        <v>236</v>
      </c>
      <c r="E459" s="1">
        <v>25</v>
      </c>
      <c r="F459" s="1" t="s">
        <v>3312</v>
      </c>
      <c r="H459" s="1" t="s">
        <v>3313</v>
      </c>
      <c r="I459" s="1" t="s">
        <v>7</v>
      </c>
      <c r="J459" s="1" t="s">
        <v>3314</v>
      </c>
      <c r="K459" s="1" t="s">
        <v>3315</v>
      </c>
      <c r="L459" s="1" t="s">
        <v>3314</v>
      </c>
      <c r="M459" s="1" t="s">
        <v>3316</v>
      </c>
      <c r="N459" s="1" t="s">
        <v>3317</v>
      </c>
      <c r="O459" s="1">
        <v>1</v>
      </c>
      <c r="P459" s="1" t="s">
        <v>3219</v>
      </c>
      <c r="Q459" s="1">
        <v>1999</v>
      </c>
      <c r="R459" s="1" t="s">
        <v>3220</v>
      </c>
      <c r="S459" s="1" t="s">
        <v>27</v>
      </c>
      <c r="T459" s="6">
        <v>1</v>
      </c>
      <c r="AH459" s="1">
        <v>0.98</v>
      </c>
      <c r="EY459" s="1">
        <v>33.6</v>
      </c>
    </row>
    <row r="460" spans="1:155" x14ac:dyDescent="0.2">
      <c r="A460" s="1" t="s">
        <v>3318</v>
      </c>
      <c r="B460" s="1" t="s">
        <v>55</v>
      </c>
      <c r="C460" s="1" t="s">
        <v>236</v>
      </c>
      <c r="E460" s="1">
        <v>35</v>
      </c>
      <c r="F460" s="1" t="s">
        <v>3319</v>
      </c>
      <c r="H460" s="1" t="s">
        <v>3320</v>
      </c>
      <c r="I460" s="1" t="s">
        <v>7</v>
      </c>
      <c r="J460" s="1" t="s">
        <v>3321</v>
      </c>
      <c r="K460" s="1" t="s">
        <v>3322</v>
      </c>
      <c r="L460" s="1" t="s">
        <v>3321</v>
      </c>
      <c r="M460" s="1" t="s">
        <v>481</v>
      </c>
      <c r="O460" s="1">
        <v>1</v>
      </c>
      <c r="P460" s="1" t="s">
        <v>3219</v>
      </c>
      <c r="Q460" s="1">
        <v>1999</v>
      </c>
      <c r="R460" s="1" t="s">
        <v>3220</v>
      </c>
      <c r="S460" s="1" t="s">
        <v>27</v>
      </c>
      <c r="T460" s="6">
        <v>1</v>
      </c>
      <c r="AH460" s="1">
        <v>2.42</v>
      </c>
      <c r="EY460" s="1">
        <v>39.6</v>
      </c>
    </row>
    <row r="461" spans="1:155" x14ac:dyDescent="0.2">
      <c r="A461" s="1" t="s">
        <v>3323</v>
      </c>
      <c r="B461" s="1" t="s">
        <v>55</v>
      </c>
      <c r="C461" s="1" t="s">
        <v>236</v>
      </c>
      <c r="E461" s="1">
        <v>35</v>
      </c>
      <c r="F461" s="1" t="s">
        <v>3324</v>
      </c>
      <c r="H461" s="1" t="s">
        <v>3325</v>
      </c>
      <c r="I461" s="1" t="s">
        <v>7</v>
      </c>
      <c r="J461" s="1" t="s">
        <v>3326</v>
      </c>
      <c r="K461" s="1" t="s">
        <v>3327</v>
      </c>
      <c r="L461" s="1" t="s">
        <v>3326</v>
      </c>
      <c r="M461" s="1" t="s">
        <v>2890</v>
      </c>
      <c r="N461" s="1" t="s">
        <v>3328</v>
      </c>
      <c r="O461" s="1">
        <v>1</v>
      </c>
      <c r="P461" s="1" t="s">
        <v>3219</v>
      </c>
      <c r="Q461" s="1">
        <v>1999</v>
      </c>
      <c r="R461" s="1" t="s">
        <v>3220</v>
      </c>
      <c r="S461" s="1" t="s">
        <v>27</v>
      </c>
      <c r="T461" s="6">
        <v>1</v>
      </c>
      <c r="EY461" s="1">
        <v>46</v>
      </c>
    </row>
    <row r="462" spans="1:155" x14ac:dyDescent="0.2">
      <c r="A462" s="1" t="s">
        <v>3329</v>
      </c>
      <c r="B462" s="1" t="s">
        <v>55</v>
      </c>
      <c r="C462" s="1" t="s">
        <v>236</v>
      </c>
      <c r="E462" s="1">
        <v>35</v>
      </c>
      <c r="F462" s="1" t="s">
        <v>3324</v>
      </c>
      <c r="H462" s="1" t="s">
        <v>3325</v>
      </c>
      <c r="I462" s="1" t="s">
        <v>7</v>
      </c>
      <c r="J462" s="1" t="s">
        <v>3326</v>
      </c>
      <c r="K462" s="1" t="s">
        <v>3327</v>
      </c>
      <c r="L462" s="1" t="s">
        <v>3326</v>
      </c>
      <c r="M462" s="1" t="s">
        <v>2890</v>
      </c>
      <c r="N462" s="1" t="s">
        <v>3330</v>
      </c>
      <c r="O462" s="1">
        <v>1</v>
      </c>
      <c r="P462" s="1" t="s">
        <v>3219</v>
      </c>
      <c r="Q462" s="1">
        <v>1999</v>
      </c>
      <c r="R462" s="1" t="s">
        <v>3220</v>
      </c>
      <c r="S462" s="1" t="s">
        <v>27</v>
      </c>
      <c r="T462" s="6">
        <v>1</v>
      </c>
      <c r="AH462" s="1">
        <v>1.56</v>
      </c>
      <c r="EY462" s="1">
        <v>39.4</v>
      </c>
    </row>
    <row r="463" spans="1:155" x14ac:dyDescent="0.2">
      <c r="A463" s="1" t="s">
        <v>3331</v>
      </c>
      <c r="B463" s="1" t="s">
        <v>55</v>
      </c>
      <c r="C463" s="1" t="s">
        <v>236</v>
      </c>
      <c r="E463" s="1">
        <v>12</v>
      </c>
      <c r="F463" s="1" t="s">
        <v>1551</v>
      </c>
      <c r="H463" s="1" t="s">
        <v>3332</v>
      </c>
      <c r="I463" s="1" t="s">
        <v>7</v>
      </c>
      <c r="J463" s="1" t="s">
        <v>3333</v>
      </c>
      <c r="K463" s="1" t="s">
        <v>1554</v>
      </c>
      <c r="L463" s="1" t="s">
        <v>1553</v>
      </c>
      <c r="M463" s="1" t="s">
        <v>3316</v>
      </c>
      <c r="N463" s="1" t="s">
        <v>3334</v>
      </c>
      <c r="O463" s="1">
        <v>1</v>
      </c>
      <c r="P463" s="1" t="s">
        <v>3219</v>
      </c>
      <c r="Q463" s="1">
        <v>1999</v>
      </c>
      <c r="R463" s="1" t="s">
        <v>3220</v>
      </c>
      <c r="S463" s="1" t="s">
        <v>27</v>
      </c>
      <c r="T463" s="6">
        <v>1</v>
      </c>
      <c r="AH463" s="1">
        <v>0.51</v>
      </c>
      <c r="EY463" s="1">
        <v>41.8</v>
      </c>
    </row>
    <row r="464" spans="1:155" x14ac:dyDescent="0.2">
      <c r="A464" s="1" t="s">
        <v>3335</v>
      </c>
      <c r="B464" s="1" t="s">
        <v>55</v>
      </c>
      <c r="C464" s="1" t="s">
        <v>236</v>
      </c>
      <c r="E464" s="1">
        <v>12</v>
      </c>
      <c r="F464" s="1" t="s">
        <v>3336</v>
      </c>
      <c r="H464" s="1" t="s">
        <v>3337</v>
      </c>
      <c r="I464" s="1" t="s">
        <v>7</v>
      </c>
      <c r="J464" s="1" t="s">
        <v>3338</v>
      </c>
      <c r="K464" s="1" t="s">
        <v>3339</v>
      </c>
      <c r="L464" s="1" t="s">
        <v>3338</v>
      </c>
      <c r="M464" s="1" t="s">
        <v>3316</v>
      </c>
      <c r="N464" s="1" t="s">
        <v>3340</v>
      </c>
      <c r="O464" s="1">
        <v>1</v>
      </c>
      <c r="P464" s="1" t="s">
        <v>3219</v>
      </c>
      <c r="Q464" s="1">
        <v>1999</v>
      </c>
      <c r="R464" s="1" t="s">
        <v>3220</v>
      </c>
      <c r="S464" s="1" t="s">
        <v>27</v>
      </c>
      <c r="T464" s="6">
        <v>1</v>
      </c>
      <c r="AH464" s="1">
        <v>0.71</v>
      </c>
      <c r="EY464" s="1">
        <v>51.2</v>
      </c>
    </row>
    <row r="465" spans="1:155" x14ac:dyDescent="0.2">
      <c r="A465" s="1" t="s">
        <v>3341</v>
      </c>
      <c r="B465" s="1" t="s">
        <v>55</v>
      </c>
      <c r="C465" s="1" t="s">
        <v>236</v>
      </c>
      <c r="E465" s="1">
        <v>24</v>
      </c>
      <c r="F465" s="1" t="s">
        <v>3342</v>
      </c>
      <c r="H465" s="1" t="s">
        <v>3343</v>
      </c>
      <c r="I465" s="1" t="s">
        <v>7</v>
      </c>
      <c r="J465" s="1" t="s">
        <v>3344</v>
      </c>
      <c r="K465" s="1" t="s">
        <v>3345</v>
      </c>
      <c r="L465" s="1" t="s">
        <v>3346</v>
      </c>
      <c r="M465" s="1" t="s">
        <v>3226</v>
      </c>
      <c r="N465" s="1" t="s">
        <v>3347</v>
      </c>
      <c r="O465" s="1">
        <v>1</v>
      </c>
      <c r="P465" s="1" t="s">
        <v>3219</v>
      </c>
      <c r="Q465" s="1">
        <v>1999</v>
      </c>
      <c r="R465" s="1" t="s">
        <v>3220</v>
      </c>
      <c r="S465" s="1" t="s">
        <v>27</v>
      </c>
      <c r="T465" s="6">
        <v>1</v>
      </c>
      <c r="AH465" s="1">
        <v>4.9000000000000004</v>
      </c>
      <c r="EY465" s="1">
        <v>68.599999999999994</v>
      </c>
    </row>
    <row r="466" spans="1:155" x14ac:dyDescent="0.2">
      <c r="A466" s="1" t="s">
        <v>3348</v>
      </c>
      <c r="B466" s="1" t="s">
        <v>55</v>
      </c>
      <c r="C466" s="1" t="s">
        <v>236</v>
      </c>
      <c r="E466" s="1">
        <v>24</v>
      </c>
      <c r="F466" s="1" t="s">
        <v>3342</v>
      </c>
      <c r="H466" s="1" t="s">
        <v>3343</v>
      </c>
      <c r="I466" s="1" t="s">
        <v>7</v>
      </c>
      <c r="J466" s="1" t="s">
        <v>3344</v>
      </c>
      <c r="K466" s="1" t="s">
        <v>3345</v>
      </c>
      <c r="L466" s="1" t="s">
        <v>3346</v>
      </c>
      <c r="M466" s="1" t="s">
        <v>481</v>
      </c>
      <c r="N466" s="1" t="s">
        <v>3349</v>
      </c>
      <c r="O466" s="1">
        <v>1</v>
      </c>
      <c r="P466" s="1" t="s">
        <v>3219</v>
      </c>
      <c r="Q466" s="1">
        <v>1999</v>
      </c>
      <c r="R466" s="1" t="s">
        <v>3220</v>
      </c>
      <c r="S466" s="1" t="s">
        <v>27</v>
      </c>
      <c r="T466" s="6">
        <v>1</v>
      </c>
      <c r="AH466" s="1">
        <v>6.3</v>
      </c>
      <c r="EY466" s="1">
        <v>62.2</v>
      </c>
    </row>
    <row r="467" spans="1:155" x14ac:dyDescent="0.2">
      <c r="A467" s="1" t="s">
        <v>3350</v>
      </c>
      <c r="B467" s="1" t="s">
        <v>55</v>
      </c>
      <c r="C467" s="1" t="s">
        <v>236</v>
      </c>
      <c r="E467" s="1">
        <v>24</v>
      </c>
      <c r="F467" s="1" t="s">
        <v>3342</v>
      </c>
      <c r="H467" s="1" t="s">
        <v>3343</v>
      </c>
      <c r="I467" s="1" t="s">
        <v>7</v>
      </c>
      <c r="J467" s="1" t="s">
        <v>3344</v>
      </c>
      <c r="K467" s="1" t="s">
        <v>3345</v>
      </c>
      <c r="L467" s="1" t="s">
        <v>3346</v>
      </c>
      <c r="M467" s="1" t="s">
        <v>2890</v>
      </c>
      <c r="N467" s="1" t="s">
        <v>3351</v>
      </c>
      <c r="O467" s="1">
        <v>1</v>
      </c>
      <c r="P467" s="1" t="s">
        <v>3219</v>
      </c>
      <c r="Q467" s="1">
        <v>1999</v>
      </c>
      <c r="R467" s="1" t="s">
        <v>3220</v>
      </c>
      <c r="S467" s="1" t="s">
        <v>27</v>
      </c>
      <c r="T467" s="6">
        <v>1</v>
      </c>
      <c r="AH467" s="1">
        <v>1.46</v>
      </c>
      <c r="EY467" s="1">
        <v>53.7</v>
      </c>
    </row>
    <row r="468" spans="1:155" x14ac:dyDescent="0.2">
      <c r="A468" s="1" t="s">
        <v>3352</v>
      </c>
      <c r="B468" s="1" t="s">
        <v>55</v>
      </c>
      <c r="C468" s="1" t="s">
        <v>236</v>
      </c>
      <c r="E468" s="1">
        <v>35</v>
      </c>
      <c r="F468" s="1" t="s">
        <v>3353</v>
      </c>
      <c r="H468" s="1" t="s">
        <v>3354</v>
      </c>
      <c r="I468" s="1" t="s">
        <v>7</v>
      </c>
      <c r="J468" s="1" t="s">
        <v>3355</v>
      </c>
      <c r="K468" s="1" t="s">
        <v>3356</v>
      </c>
      <c r="L468" s="1" t="s">
        <v>3355</v>
      </c>
      <c r="M468" s="1" t="s">
        <v>2890</v>
      </c>
      <c r="N468" s="1" t="s">
        <v>3357</v>
      </c>
      <c r="O468" s="1">
        <v>1</v>
      </c>
      <c r="P468" s="1" t="s">
        <v>3219</v>
      </c>
      <c r="Q468" s="1">
        <v>1999</v>
      </c>
      <c r="R468" s="1" t="s">
        <v>3220</v>
      </c>
      <c r="S468" s="1" t="s">
        <v>27</v>
      </c>
      <c r="T468" s="6">
        <v>1</v>
      </c>
      <c r="AH468" s="1">
        <v>0.94</v>
      </c>
      <c r="EY468" s="1">
        <v>50.4</v>
      </c>
    </row>
    <row r="469" spans="1:155" x14ac:dyDescent="0.2">
      <c r="A469" s="1" t="s">
        <v>3358</v>
      </c>
      <c r="B469" s="1" t="s">
        <v>55</v>
      </c>
      <c r="C469" s="1" t="s">
        <v>236</v>
      </c>
      <c r="E469" s="1">
        <v>35</v>
      </c>
      <c r="F469" s="1" t="s">
        <v>3359</v>
      </c>
      <c r="H469" s="1" t="s">
        <v>3360</v>
      </c>
      <c r="I469" s="1" t="s">
        <v>7</v>
      </c>
      <c r="J469" s="1" t="s">
        <v>3361</v>
      </c>
      <c r="K469" s="1" t="s">
        <v>3362</v>
      </c>
      <c r="L469" s="1" t="s">
        <v>3361</v>
      </c>
      <c r="M469" s="1" t="s">
        <v>2890</v>
      </c>
      <c r="N469" s="1" t="s">
        <v>3363</v>
      </c>
      <c r="O469" s="1">
        <v>1</v>
      </c>
      <c r="P469" s="1" t="s">
        <v>3219</v>
      </c>
      <c r="Q469" s="1">
        <v>1999</v>
      </c>
      <c r="R469" s="1" t="s">
        <v>3220</v>
      </c>
      <c r="S469" s="1" t="s">
        <v>27</v>
      </c>
      <c r="T469" s="6">
        <v>1</v>
      </c>
      <c r="AH469" s="1">
        <v>1.8</v>
      </c>
      <c r="EY469" s="1">
        <v>52.7</v>
      </c>
    </row>
    <row r="470" spans="1:155" x14ac:dyDescent="0.2">
      <c r="A470" s="1" t="s">
        <v>3364</v>
      </c>
      <c r="B470" s="1" t="s">
        <v>55</v>
      </c>
      <c r="C470" s="1" t="s">
        <v>236</v>
      </c>
      <c r="E470" s="1">
        <v>35</v>
      </c>
      <c r="F470" s="1" t="s">
        <v>3365</v>
      </c>
      <c r="H470" s="1" t="s">
        <v>3366</v>
      </c>
      <c r="I470" s="1" t="s">
        <v>7</v>
      </c>
      <c r="J470" s="1" t="s">
        <v>3367</v>
      </c>
      <c r="K470" s="1" t="s">
        <v>3368</v>
      </c>
      <c r="L470" s="1" t="s">
        <v>3369</v>
      </c>
      <c r="M470" s="1" t="s">
        <v>758</v>
      </c>
      <c r="N470" s="1" t="s">
        <v>3370</v>
      </c>
      <c r="O470" s="1">
        <v>1</v>
      </c>
      <c r="P470" s="1" t="s">
        <v>3219</v>
      </c>
      <c r="Q470" s="1">
        <v>1999</v>
      </c>
      <c r="R470" s="1" t="s">
        <v>3220</v>
      </c>
      <c r="S470" s="1" t="s">
        <v>27</v>
      </c>
      <c r="T470" s="6">
        <v>1</v>
      </c>
      <c r="AH470" s="1">
        <v>4.34</v>
      </c>
      <c r="EY470" s="1">
        <v>86.5</v>
      </c>
    </row>
    <row r="471" spans="1:155" x14ac:dyDescent="0.2">
      <c r="A471" s="1" t="s">
        <v>3371</v>
      </c>
      <c r="B471" s="1" t="s">
        <v>55</v>
      </c>
      <c r="C471" s="1" t="s">
        <v>236</v>
      </c>
      <c r="E471" s="1">
        <v>31</v>
      </c>
      <c r="F471" s="1" t="s">
        <v>3372</v>
      </c>
      <c r="H471" s="1" t="s">
        <v>3373</v>
      </c>
      <c r="I471" s="1" t="s">
        <v>7</v>
      </c>
      <c r="J471" s="1" t="s">
        <v>3374</v>
      </c>
      <c r="K471" s="1" t="s">
        <v>3375</v>
      </c>
      <c r="L471" s="1" t="s">
        <v>3374</v>
      </c>
      <c r="M471" s="1" t="s">
        <v>2890</v>
      </c>
      <c r="N471" s="1" t="s">
        <v>3376</v>
      </c>
      <c r="O471" s="1">
        <v>1</v>
      </c>
      <c r="P471" s="1" t="s">
        <v>3219</v>
      </c>
      <c r="Q471" s="1">
        <v>1999</v>
      </c>
      <c r="R471" s="1" t="s">
        <v>3220</v>
      </c>
      <c r="S471" s="1" t="s">
        <v>27</v>
      </c>
      <c r="T471" s="6">
        <v>1</v>
      </c>
      <c r="AH471" s="1">
        <v>0.47</v>
      </c>
      <c r="EY471" s="1">
        <v>39.200000000000003</v>
      </c>
    </row>
    <row r="472" spans="1:155" x14ac:dyDescent="0.2">
      <c r="A472" s="1" t="s">
        <v>3377</v>
      </c>
      <c r="B472" s="1" t="s">
        <v>55</v>
      </c>
      <c r="C472" s="1" t="s">
        <v>236</v>
      </c>
      <c r="E472" s="1">
        <v>31</v>
      </c>
      <c r="F472" s="1" t="s">
        <v>3378</v>
      </c>
      <c r="H472" s="1" t="s">
        <v>3244</v>
      </c>
      <c r="I472" s="1" t="s">
        <v>7</v>
      </c>
      <c r="J472" s="1" t="s">
        <v>3379</v>
      </c>
      <c r="K472" s="1" t="s">
        <v>3380</v>
      </c>
      <c r="L472" s="1" t="s">
        <v>3381</v>
      </c>
      <c r="M472" s="1" t="s">
        <v>2890</v>
      </c>
      <c r="N472" s="1" t="s">
        <v>3382</v>
      </c>
      <c r="O472" s="1">
        <v>1</v>
      </c>
      <c r="P472" s="1" t="s">
        <v>3219</v>
      </c>
      <c r="Q472" s="1">
        <v>1999</v>
      </c>
      <c r="R472" s="1" t="s">
        <v>3220</v>
      </c>
      <c r="S472" s="1" t="s">
        <v>27</v>
      </c>
      <c r="T472" s="6">
        <v>1</v>
      </c>
      <c r="AH472" s="1">
        <v>0.24</v>
      </c>
      <c r="EY472" s="1">
        <v>48.3</v>
      </c>
    </row>
    <row r="473" spans="1:155" x14ac:dyDescent="0.2">
      <c r="A473" s="1" t="s">
        <v>3383</v>
      </c>
      <c r="B473" s="1" t="s">
        <v>55</v>
      </c>
      <c r="C473" s="1" t="s">
        <v>236</v>
      </c>
      <c r="E473" s="1">
        <v>11</v>
      </c>
      <c r="F473" s="1" t="s">
        <v>2132</v>
      </c>
      <c r="H473" s="1" t="s">
        <v>3384</v>
      </c>
      <c r="I473" s="1" t="s">
        <v>7</v>
      </c>
      <c r="J473" s="1" t="s">
        <v>3385</v>
      </c>
      <c r="K473" s="1" t="s">
        <v>2136</v>
      </c>
      <c r="L473" s="1" t="s">
        <v>2135</v>
      </c>
      <c r="O473" s="1">
        <v>1</v>
      </c>
      <c r="P473" s="1" t="s">
        <v>3219</v>
      </c>
      <c r="Q473" s="1">
        <v>1999</v>
      </c>
      <c r="R473" s="1" t="s">
        <v>3220</v>
      </c>
      <c r="S473" s="1" t="s">
        <v>27</v>
      </c>
      <c r="T473" s="6">
        <v>1</v>
      </c>
      <c r="EY473" s="1">
        <v>36</v>
      </c>
    </row>
    <row r="474" spans="1:155" x14ac:dyDescent="0.2">
      <c r="A474" s="1" t="s">
        <v>3386</v>
      </c>
      <c r="B474" s="1" t="s">
        <v>55</v>
      </c>
      <c r="C474" s="1" t="s">
        <v>236</v>
      </c>
      <c r="E474" s="1">
        <v>11</v>
      </c>
      <c r="F474" s="1" t="s">
        <v>2124</v>
      </c>
      <c r="H474" s="1" t="s">
        <v>3387</v>
      </c>
      <c r="I474" s="1" t="s">
        <v>7</v>
      </c>
      <c r="J474" s="1" t="s">
        <v>2165</v>
      </c>
      <c r="K474" s="1" t="s">
        <v>2128</v>
      </c>
      <c r="L474" s="1" t="s">
        <v>2165</v>
      </c>
      <c r="O474" s="1">
        <v>1</v>
      </c>
      <c r="P474" s="1" t="s">
        <v>3219</v>
      </c>
      <c r="Q474" s="1">
        <v>1999</v>
      </c>
      <c r="R474" s="1" t="s">
        <v>3220</v>
      </c>
      <c r="S474" s="1" t="s">
        <v>27</v>
      </c>
      <c r="T474" s="6">
        <v>1</v>
      </c>
      <c r="EY474" s="1">
        <v>36.200000000000003</v>
      </c>
    </row>
    <row r="475" spans="1:155" x14ac:dyDescent="0.2">
      <c r="A475" s="1" t="s">
        <v>3388</v>
      </c>
      <c r="B475" s="1" t="s">
        <v>55</v>
      </c>
      <c r="C475" s="1" t="s">
        <v>236</v>
      </c>
      <c r="E475" s="1">
        <v>33</v>
      </c>
      <c r="F475" s="1" t="s">
        <v>3389</v>
      </c>
      <c r="H475" s="1" t="s">
        <v>3390</v>
      </c>
      <c r="I475" s="1" t="s">
        <v>7</v>
      </c>
      <c r="J475" s="1" t="s">
        <v>3391</v>
      </c>
      <c r="K475" s="1" t="s">
        <v>3392</v>
      </c>
      <c r="L475" s="1" t="s">
        <v>3391</v>
      </c>
      <c r="M475" s="1" t="s">
        <v>3316</v>
      </c>
      <c r="N475" s="1" t="s">
        <v>3393</v>
      </c>
      <c r="O475" s="1">
        <v>1</v>
      </c>
      <c r="P475" s="1" t="s">
        <v>3219</v>
      </c>
      <c r="Q475" s="1">
        <v>1999</v>
      </c>
      <c r="R475" s="1" t="s">
        <v>3220</v>
      </c>
      <c r="S475" s="1" t="s">
        <v>27</v>
      </c>
      <c r="T475" s="6">
        <v>1</v>
      </c>
      <c r="AH475" s="1">
        <v>0.47</v>
      </c>
      <c r="EY475" s="1">
        <v>32.9</v>
      </c>
    </row>
    <row r="476" spans="1:155" x14ac:dyDescent="0.2">
      <c r="A476" s="1" t="s">
        <v>3394</v>
      </c>
      <c r="B476" s="1" t="s">
        <v>55</v>
      </c>
      <c r="C476" s="1" t="s">
        <v>236</v>
      </c>
      <c r="E476" s="1">
        <v>35</v>
      </c>
      <c r="F476" s="1" t="s">
        <v>3395</v>
      </c>
      <c r="H476" s="1" t="s">
        <v>3396</v>
      </c>
      <c r="I476" s="1" t="s">
        <v>7</v>
      </c>
      <c r="J476" s="1" t="s">
        <v>3397</v>
      </c>
      <c r="K476" s="1" t="s">
        <v>3398</v>
      </c>
      <c r="L476" s="1" t="s">
        <v>3399</v>
      </c>
      <c r="M476" s="1" t="s">
        <v>817</v>
      </c>
      <c r="N476" s="1" t="s">
        <v>3347</v>
      </c>
      <c r="O476" s="1">
        <v>1</v>
      </c>
      <c r="P476" s="1" t="s">
        <v>3219</v>
      </c>
      <c r="Q476" s="1">
        <v>1999</v>
      </c>
      <c r="R476" s="1" t="s">
        <v>3220</v>
      </c>
      <c r="S476" s="1" t="s">
        <v>27</v>
      </c>
      <c r="T476" s="6">
        <v>1</v>
      </c>
      <c r="AH476" s="1">
        <v>3.15</v>
      </c>
      <c r="EY476" s="1">
        <v>54.6</v>
      </c>
    </row>
    <row r="477" spans="1:155" x14ac:dyDescent="0.2">
      <c r="A477" s="1" t="s">
        <v>3400</v>
      </c>
      <c r="B477" s="1" t="s">
        <v>55</v>
      </c>
      <c r="C477" s="1" t="s">
        <v>236</v>
      </c>
      <c r="E477" s="1">
        <v>33</v>
      </c>
      <c r="F477" s="1" t="s">
        <v>3401</v>
      </c>
      <c r="H477" s="1" t="s">
        <v>3402</v>
      </c>
      <c r="I477" s="1" t="s">
        <v>7</v>
      </c>
      <c r="J477" s="1" t="s">
        <v>3403</v>
      </c>
      <c r="K477" s="1" t="s">
        <v>3404</v>
      </c>
      <c r="L477" s="1" t="s">
        <v>3403</v>
      </c>
      <c r="M477" s="1" t="s">
        <v>2890</v>
      </c>
      <c r="N477" s="1" t="s">
        <v>3405</v>
      </c>
      <c r="O477" s="1">
        <v>1</v>
      </c>
      <c r="P477" s="1" t="s">
        <v>3219</v>
      </c>
      <c r="Q477" s="1">
        <v>1999</v>
      </c>
      <c r="R477" s="1" t="s">
        <v>3220</v>
      </c>
      <c r="S477" s="1" t="s">
        <v>27</v>
      </c>
      <c r="T477" s="6">
        <v>1</v>
      </c>
      <c r="AH477" s="1">
        <v>3.19</v>
      </c>
      <c r="EY477" s="1">
        <v>82.7</v>
      </c>
    </row>
    <row r="478" spans="1:155" x14ac:dyDescent="0.2">
      <c r="A478" s="1" t="s">
        <v>3406</v>
      </c>
      <c r="B478" s="1" t="s">
        <v>55</v>
      </c>
      <c r="C478" s="1" t="s">
        <v>236</v>
      </c>
      <c r="E478" s="1">
        <v>33</v>
      </c>
      <c r="F478" s="1" t="s">
        <v>3407</v>
      </c>
      <c r="H478" s="1" t="s">
        <v>3408</v>
      </c>
      <c r="I478" s="1" t="s">
        <v>7</v>
      </c>
      <c r="J478" s="1" t="s">
        <v>3409</v>
      </c>
      <c r="K478" s="1" t="s">
        <v>3410</v>
      </c>
      <c r="L478" s="1" t="s">
        <v>3411</v>
      </c>
      <c r="N478" s="1" t="s">
        <v>3412</v>
      </c>
      <c r="O478" s="1">
        <v>1</v>
      </c>
      <c r="P478" s="1" t="s">
        <v>3219</v>
      </c>
      <c r="Q478" s="1">
        <v>1999</v>
      </c>
      <c r="R478" s="1" t="s">
        <v>3220</v>
      </c>
      <c r="S478" s="1" t="s">
        <v>27</v>
      </c>
      <c r="T478" s="6">
        <v>1</v>
      </c>
      <c r="AH478" s="1">
        <v>2.35</v>
      </c>
      <c r="EY478" s="1">
        <v>53.8</v>
      </c>
    </row>
    <row r="479" spans="1:155" x14ac:dyDescent="0.2">
      <c r="A479" s="1" t="s">
        <v>3413</v>
      </c>
      <c r="B479" s="1" t="s">
        <v>55</v>
      </c>
      <c r="C479" s="1" t="s">
        <v>236</v>
      </c>
      <c r="E479" s="1">
        <v>34</v>
      </c>
      <c r="F479" s="1" t="s">
        <v>3407</v>
      </c>
      <c r="H479" s="1" t="s">
        <v>3408</v>
      </c>
      <c r="I479" s="1" t="s">
        <v>7</v>
      </c>
      <c r="J479" s="1" t="s">
        <v>3409</v>
      </c>
      <c r="K479" s="1" t="s">
        <v>3410</v>
      </c>
      <c r="L479" s="1" t="s">
        <v>3411</v>
      </c>
      <c r="M479" s="1" t="s">
        <v>481</v>
      </c>
      <c r="N479" s="1" t="s">
        <v>3414</v>
      </c>
      <c r="O479" s="1">
        <v>1</v>
      </c>
      <c r="P479" s="1" t="s">
        <v>3219</v>
      </c>
      <c r="Q479" s="1">
        <v>1999</v>
      </c>
      <c r="R479" s="1" t="s">
        <v>3220</v>
      </c>
      <c r="S479" s="1" t="s">
        <v>27</v>
      </c>
      <c r="T479" s="6">
        <v>1</v>
      </c>
      <c r="AH479" s="1">
        <v>2.2000000000000002</v>
      </c>
      <c r="EY479" s="1">
        <v>45.9</v>
      </c>
    </row>
    <row r="480" spans="1:155" x14ac:dyDescent="0.2">
      <c r="A480" s="1" t="s">
        <v>3415</v>
      </c>
      <c r="B480" s="1" t="s">
        <v>55</v>
      </c>
      <c r="C480" s="1" t="s">
        <v>236</v>
      </c>
      <c r="E480" s="1">
        <v>33</v>
      </c>
      <c r="F480" s="1" t="s">
        <v>3416</v>
      </c>
      <c r="H480" s="1" t="s">
        <v>3417</v>
      </c>
      <c r="I480" s="1" t="s">
        <v>7</v>
      </c>
      <c r="J480" s="1" t="s">
        <v>3418</v>
      </c>
      <c r="L480" s="1" t="s">
        <v>3419</v>
      </c>
      <c r="M480" s="1" t="s">
        <v>817</v>
      </c>
      <c r="N480" s="1" t="s">
        <v>3420</v>
      </c>
      <c r="O480" s="1">
        <v>1</v>
      </c>
      <c r="P480" s="1" t="s">
        <v>3219</v>
      </c>
      <c r="Q480" s="1">
        <v>1999</v>
      </c>
      <c r="R480" s="1" t="s">
        <v>3220</v>
      </c>
      <c r="S480" s="1" t="s">
        <v>27</v>
      </c>
      <c r="T480" s="6">
        <v>1</v>
      </c>
      <c r="AH480" s="1">
        <v>4.63</v>
      </c>
      <c r="EY480" s="1">
        <v>61</v>
      </c>
    </row>
    <row r="481" spans="1:155" x14ac:dyDescent="0.2">
      <c r="A481" s="1" t="s">
        <v>3421</v>
      </c>
      <c r="B481" s="1" t="s">
        <v>55</v>
      </c>
      <c r="C481" s="1" t="s">
        <v>236</v>
      </c>
      <c r="E481" s="1">
        <v>33</v>
      </c>
      <c r="F481" s="1" t="s">
        <v>3422</v>
      </c>
      <c r="H481" s="1" t="s">
        <v>3423</v>
      </c>
      <c r="I481" s="1" t="s">
        <v>7</v>
      </c>
      <c r="J481" s="1" t="s">
        <v>3424</v>
      </c>
      <c r="K481" s="1" t="s">
        <v>3425</v>
      </c>
      <c r="L481" s="1" t="s">
        <v>3424</v>
      </c>
      <c r="M481" s="1" t="s">
        <v>2890</v>
      </c>
      <c r="O481" s="1">
        <v>1</v>
      </c>
      <c r="P481" s="1" t="s">
        <v>3219</v>
      </c>
      <c r="Q481" s="1">
        <v>1999</v>
      </c>
      <c r="R481" s="1" t="s">
        <v>3220</v>
      </c>
      <c r="S481" s="1" t="s">
        <v>27</v>
      </c>
      <c r="T481" s="6">
        <v>1</v>
      </c>
      <c r="AH481" s="1">
        <v>0.67</v>
      </c>
      <c r="EY481" s="1">
        <v>53.7</v>
      </c>
    </row>
    <row r="482" spans="1:155" x14ac:dyDescent="0.2">
      <c r="A482" s="1" t="s">
        <v>3426</v>
      </c>
      <c r="B482" s="1" t="s">
        <v>55</v>
      </c>
      <c r="C482" s="1" t="s">
        <v>236</v>
      </c>
      <c r="E482" s="1">
        <v>33</v>
      </c>
      <c r="F482" s="1" t="s">
        <v>3416</v>
      </c>
      <c r="H482" s="1" t="s">
        <v>3417</v>
      </c>
      <c r="I482" s="1" t="s">
        <v>7</v>
      </c>
      <c r="J482" s="1" t="s">
        <v>3427</v>
      </c>
      <c r="L482" s="1" t="s">
        <v>3419</v>
      </c>
      <c r="M482" s="1" t="s">
        <v>2890</v>
      </c>
      <c r="N482" s="1" t="s">
        <v>3428</v>
      </c>
      <c r="O482" s="1">
        <v>1</v>
      </c>
      <c r="P482" s="1" t="s">
        <v>3219</v>
      </c>
      <c r="Q482" s="1">
        <v>1999</v>
      </c>
      <c r="R482" s="1" t="s">
        <v>3220</v>
      </c>
      <c r="S482" s="1" t="s">
        <v>27</v>
      </c>
      <c r="T482" s="6">
        <v>1</v>
      </c>
      <c r="AH482" s="1">
        <v>0.93</v>
      </c>
      <c r="EY482" s="1">
        <v>63.8</v>
      </c>
    </row>
    <row r="483" spans="1:155" x14ac:dyDescent="0.2">
      <c r="A483" s="1" t="s">
        <v>3429</v>
      </c>
      <c r="B483" s="1" t="s">
        <v>55</v>
      </c>
      <c r="C483" s="1" t="s">
        <v>236</v>
      </c>
      <c r="E483" s="1">
        <v>37</v>
      </c>
      <c r="F483" s="1" t="s">
        <v>3430</v>
      </c>
      <c r="H483" s="1" t="s">
        <v>3431</v>
      </c>
      <c r="I483" s="1" t="s">
        <v>7</v>
      </c>
      <c r="J483" s="1" t="s">
        <v>3432</v>
      </c>
      <c r="L483" s="1" t="s">
        <v>3433</v>
      </c>
      <c r="M483" s="1" t="s">
        <v>481</v>
      </c>
      <c r="O483" s="1">
        <v>1</v>
      </c>
      <c r="P483" s="1" t="s">
        <v>3219</v>
      </c>
      <c r="Q483" s="1">
        <v>1999</v>
      </c>
      <c r="R483" s="1" t="s">
        <v>3220</v>
      </c>
      <c r="S483" s="1" t="s">
        <v>27</v>
      </c>
      <c r="T483" s="6">
        <v>1</v>
      </c>
      <c r="AH483" s="1">
        <v>1.74</v>
      </c>
      <c r="EY483" s="1">
        <v>52.5</v>
      </c>
    </row>
    <row r="484" spans="1:155" x14ac:dyDescent="0.2">
      <c r="A484" s="1" t="s">
        <v>3434</v>
      </c>
      <c r="B484" s="1" t="s">
        <v>55</v>
      </c>
      <c r="C484" s="1" t="s">
        <v>236</v>
      </c>
      <c r="E484" s="1">
        <v>37</v>
      </c>
      <c r="F484" s="1" t="s">
        <v>3435</v>
      </c>
      <c r="H484" s="1" t="s">
        <v>3436</v>
      </c>
      <c r="I484" s="1" t="s">
        <v>7</v>
      </c>
      <c r="J484" s="1" t="s">
        <v>3437</v>
      </c>
      <c r="K484" s="1" t="s">
        <v>3438</v>
      </c>
      <c r="L484" s="1" t="s">
        <v>3437</v>
      </c>
      <c r="M484" s="1" t="s">
        <v>3226</v>
      </c>
      <c r="N484" s="1" t="s">
        <v>3439</v>
      </c>
      <c r="O484" s="1">
        <v>1</v>
      </c>
      <c r="P484" s="1" t="s">
        <v>3219</v>
      </c>
      <c r="Q484" s="1">
        <v>1999</v>
      </c>
      <c r="R484" s="1" t="s">
        <v>3220</v>
      </c>
      <c r="S484" s="1" t="s">
        <v>27</v>
      </c>
      <c r="T484" s="6">
        <v>1</v>
      </c>
      <c r="AH484" s="1">
        <v>6</v>
      </c>
      <c r="EY484" s="1">
        <v>97.4</v>
      </c>
    </row>
    <row r="485" spans="1:155" x14ac:dyDescent="0.2">
      <c r="A485" s="1" t="s">
        <v>3440</v>
      </c>
      <c r="B485" s="1" t="s">
        <v>55</v>
      </c>
      <c r="C485" s="1" t="s">
        <v>236</v>
      </c>
      <c r="E485" s="1">
        <v>33</v>
      </c>
      <c r="F485" s="1" t="s">
        <v>3441</v>
      </c>
      <c r="H485" s="1" t="s">
        <v>3442</v>
      </c>
      <c r="I485" s="1" t="s">
        <v>7</v>
      </c>
      <c r="J485" s="1" t="s">
        <v>3443</v>
      </c>
      <c r="K485" s="1" t="s">
        <v>3444</v>
      </c>
      <c r="L485" s="1" t="s">
        <v>3443</v>
      </c>
      <c r="M485" s="1" t="s">
        <v>749</v>
      </c>
      <c r="O485" s="1">
        <v>1</v>
      </c>
      <c r="P485" s="1" t="s">
        <v>3219</v>
      </c>
      <c r="Q485" s="1">
        <v>1999</v>
      </c>
      <c r="R485" s="1" t="s">
        <v>3220</v>
      </c>
      <c r="S485" s="1" t="s">
        <v>27</v>
      </c>
      <c r="T485" s="6">
        <v>1</v>
      </c>
      <c r="EY485" s="1">
        <v>90.6</v>
      </c>
    </row>
    <row r="486" spans="1:155" x14ac:dyDescent="0.2">
      <c r="A486" s="1" t="s">
        <v>3445</v>
      </c>
      <c r="B486" s="1" t="s">
        <v>55</v>
      </c>
      <c r="C486" s="1" t="s">
        <v>236</v>
      </c>
      <c r="E486" s="1">
        <v>33</v>
      </c>
      <c r="F486" s="1" t="s">
        <v>3446</v>
      </c>
      <c r="H486" s="1" t="s">
        <v>3447</v>
      </c>
      <c r="I486" s="1" t="s">
        <v>7</v>
      </c>
      <c r="J486" s="1" t="s">
        <v>3448</v>
      </c>
      <c r="K486" s="1" t="s">
        <v>3449</v>
      </c>
      <c r="L486" s="1" t="s">
        <v>3448</v>
      </c>
      <c r="M486" s="1" t="s">
        <v>749</v>
      </c>
      <c r="O486" s="1">
        <v>1</v>
      </c>
      <c r="P486" s="1" t="s">
        <v>3219</v>
      </c>
      <c r="Q486" s="1">
        <v>1999</v>
      </c>
      <c r="R486" s="1" t="s">
        <v>3220</v>
      </c>
      <c r="S486" s="1" t="s">
        <v>27</v>
      </c>
      <c r="T486" s="6">
        <v>1</v>
      </c>
      <c r="AH486" s="1">
        <v>1.1000000000000001</v>
      </c>
      <c r="EY486" s="1">
        <v>107</v>
      </c>
    </row>
    <row r="487" spans="1:155" x14ac:dyDescent="0.2">
      <c r="A487" s="1" t="s">
        <v>3450</v>
      </c>
      <c r="B487" s="1" t="s">
        <v>55</v>
      </c>
      <c r="C487" s="1" t="s">
        <v>236</v>
      </c>
      <c r="E487" s="1">
        <v>33</v>
      </c>
      <c r="F487" s="1" t="s">
        <v>3451</v>
      </c>
      <c r="H487" s="1" t="s">
        <v>3452</v>
      </c>
      <c r="I487" s="1" t="s">
        <v>7</v>
      </c>
      <c r="J487" s="1" t="s">
        <v>3453</v>
      </c>
      <c r="K487" s="1" t="s">
        <v>3454</v>
      </c>
      <c r="L487" s="1" t="s">
        <v>3453</v>
      </c>
      <c r="M487" s="1" t="s">
        <v>2890</v>
      </c>
      <c r="N487" s="1" t="s">
        <v>3455</v>
      </c>
      <c r="O487" s="1">
        <v>1</v>
      </c>
      <c r="P487" s="1" t="s">
        <v>3219</v>
      </c>
      <c r="Q487" s="1">
        <v>1999</v>
      </c>
      <c r="R487" s="1" t="s">
        <v>3220</v>
      </c>
      <c r="S487" s="1" t="s">
        <v>27</v>
      </c>
      <c r="T487" s="6">
        <v>1</v>
      </c>
      <c r="AH487" s="1">
        <v>1.85</v>
      </c>
      <c r="EY487" s="1">
        <v>88.2</v>
      </c>
    </row>
    <row r="488" spans="1:155" x14ac:dyDescent="0.2">
      <c r="A488" s="1" t="s">
        <v>3456</v>
      </c>
      <c r="B488" s="1" t="s">
        <v>55</v>
      </c>
      <c r="C488" s="1" t="s">
        <v>236</v>
      </c>
      <c r="E488" s="1">
        <v>33</v>
      </c>
      <c r="F488" s="1" t="s">
        <v>3457</v>
      </c>
      <c r="H488" s="1" t="s">
        <v>3458</v>
      </c>
      <c r="I488" s="1" t="s">
        <v>7</v>
      </c>
      <c r="J488" s="1" t="s">
        <v>3459</v>
      </c>
      <c r="K488" s="1" t="s">
        <v>3460</v>
      </c>
      <c r="L488" s="1" t="s">
        <v>3461</v>
      </c>
      <c r="M488" s="1" t="s">
        <v>481</v>
      </c>
      <c r="N488" s="1" t="s">
        <v>3462</v>
      </c>
      <c r="O488" s="1">
        <v>1</v>
      </c>
      <c r="P488" s="1" t="s">
        <v>3219</v>
      </c>
      <c r="Q488" s="1">
        <v>1999</v>
      </c>
      <c r="R488" s="1" t="s">
        <v>3220</v>
      </c>
      <c r="S488" s="1" t="s">
        <v>27</v>
      </c>
      <c r="T488" s="6">
        <v>1</v>
      </c>
      <c r="AH488" s="1">
        <v>3.26</v>
      </c>
      <c r="EY488" s="1">
        <v>148</v>
      </c>
    </row>
    <row r="489" spans="1:155" x14ac:dyDescent="0.2">
      <c r="A489" s="1" t="s">
        <v>3463</v>
      </c>
      <c r="B489" s="1" t="s">
        <v>55</v>
      </c>
      <c r="C489" s="1" t="s">
        <v>236</v>
      </c>
      <c r="E489" s="1">
        <v>33</v>
      </c>
      <c r="F489" s="1" t="s">
        <v>3464</v>
      </c>
      <c r="H489" s="1" t="s">
        <v>3465</v>
      </c>
      <c r="I489" s="1" t="s">
        <v>7</v>
      </c>
      <c r="J489" s="1" t="s">
        <v>3466</v>
      </c>
      <c r="K489" s="1" t="s">
        <v>3467</v>
      </c>
      <c r="L489" s="1" t="s">
        <v>3466</v>
      </c>
      <c r="M489" s="1" t="s">
        <v>2890</v>
      </c>
      <c r="N489" s="1" t="s">
        <v>3468</v>
      </c>
      <c r="O489" s="1">
        <v>1</v>
      </c>
      <c r="P489" s="1" t="s">
        <v>3219</v>
      </c>
      <c r="Q489" s="1">
        <v>1999</v>
      </c>
      <c r="R489" s="1" t="s">
        <v>3220</v>
      </c>
      <c r="S489" s="1" t="s">
        <v>27</v>
      </c>
      <c r="T489" s="6">
        <v>1</v>
      </c>
      <c r="AH489" s="1">
        <v>7.7</v>
      </c>
      <c r="EY489" s="1">
        <v>95.5</v>
      </c>
    </row>
    <row r="490" spans="1:155" x14ac:dyDescent="0.2">
      <c r="A490" s="1" t="s">
        <v>3469</v>
      </c>
      <c r="B490" s="1" t="s">
        <v>55</v>
      </c>
      <c r="C490" s="1" t="s">
        <v>236</v>
      </c>
      <c r="E490" s="1">
        <v>33</v>
      </c>
      <c r="F490" s="1" t="s">
        <v>3470</v>
      </c>
      <c r="H490" s="1" t="s">
        <v>3471</v>
      </c>
      <c r="I490" s="1" t="s">
        <v>7</v>
      </c>
      <c r="J490" s="1" t="s">
        <v>3472</v>
      </c>
      <c r="K490" s="1" t="s">
        <v>3473</v>
      </c>
      <c r="L490" s="1" t="s">
        <v>3474</v>
      </c>
      <c r="M490" s="1" t="s">
        <v>481</v>
      </c>
      <c r="O490" s="1">
        <v>1</v>
      </c>
      <c r="P490" s="1" t="s">
        <v>3219</v>
      </c>
      <c r="Q490" s="1">
        <v>1999</v>
      </c>
      <c r="R490" s="1" t="s">
        <v>3220</v>
      </c>
      <c r="S490" s="1" t="s">
        <v>27</v>
      </c>
      <c r="T490" s="6">
        <v>1</v>
      </c>
      <c r="AH490" s="1">
        <v>5.03</v>
      </c>
      <c r="EY490" s="1">
        <v>80.599999999999994</v>
      </c>
    </row>
    <row r="491" spans="1:155" x14ac:dyDescent="0.2">
      <c r="A491" s="1" t="s">
        <v>3475</v>
      </c>
      <c r="B491" s="1" t="s">
        <v>55</v>
      </c>
      <c r="C491" s="1" t="s">
        <v>236</v>
      </c>
      <c r="E491" s="1">
        <v>33</v>
      </c>
      <c r="F491" s="1" t="s">
        <v>2779</v>
      </c>
      <c r="H491" s="1" t="s">
        <v>3476</v>
      </c>
      <c r="I491" s="1" t="s">
        <v>7</v>
      </c>
      <c r="J491" s="1" t="s">
        <v>3477</v>
      </c>
      <c r="K491" s="1" t="s">
        <v>2782</v>
      </c>
      <c r="L491" s="1" t="s">
        <v>3477</v>
      </c>
      <c r="M491" s="1" t="s">
        <v>3316</v>
      </c>
      <c r="N491" s="1" t="s">
        <v>3478</v>
      </c>
      <c r="O491" s="1">
        <v>1</v>
      </c>
      <c r="P491" s="1" t="s">
        <v>3219</v>
      </c>
      <c r="Q491" s="1">
        <v>1999</v>
      </c>
      <c r="R491" s="1" t="s">
        <v>3220</v>
      </c>
      <c r="S491" s="1" t="s">
        <v>27</v>
      </c>
      <c r="T491" s="6">
        <v>1</v>
      </c>
      <c r="AH491" s="1">
        <v>0.62</v>
      </c>
      <c r="EY491" s="1">
        <v>46.2</v>
      </c>
    </row>
    <row r="492" spans="1:155" x14ac:dyDescent="0.2">
      <c r="A492" s="1" t="s">
        <v>3479</v>
      </c>
      <c r="B492" s="1" t="s">
        <v>55</v>
      </c>
      <c r="C492" s="1" t="s">
        <v>236</v>
      </c>
      <c r="E492" s="1">
        <v>33</v>
      </c>
      <c r="F492" s="1" t="s">
        <v>3480</v>
      </c>
      <c r="H492" s="1" t="s">
        <v>3481</v>
      </c>
      <c r="I492" s="1" t="s">
        <v>7</v>
      </c>
      <c r="J492" s="1" t="s">
        <v>3482</v>
      </c>
      <c r="K492" s="1" t="s">
        <v>3483</v>
      </c>
      <c r="L492" s="1" t="s">
        <v>3484</v>
      </c>
      <c r="O492" s="1">
        <v>1</v>
      </c>
      <c r="P492" s="1" t="s">
        <v>3219</v>
      </c>
      <c r="Q492" s="1">
        <v>1999</v>
      </c>
      <c r="R492" s="1" t="s">
        <v>3220</v>
      </c>
      <c r="S492" s="1" t="s">
        <v>27</v>
      </c>
      <c r="T492" s="6">
        <v>1</v>
      </c>
      <c r="AH492" s="1">
        <v>2.2400000000000002</v>
      </c>
      <c r="EY492" s="1">
        <v>62.9</v>
      </c>
    </row>
    <row r="493" spans="1:155" x14ac:dyDescent="0.2">
      <c r="A493" s="1" t="s">
        <v>3485</v>
      </c>
      <c r="B493" s="1" t="s">
        <v>55</v>
      </c>
      <c r="C493" s="1" t="s">
        <v>236</v>
      </c>
      <c r="E493" s="1">
        <v>33</v>
      </c>
      <c r="F493" s="1" t="s">
        <v>3486</v>
      </c>
      <c r="H493" s="1" t="s">
        <v>3487</v>
      </c>
      <c r="I493" s="1" t="s">
        <v>7</v>
      </c>
      <c r="J493" s="1" t="s">
        <v>3488</v>
      </c>
      <c r="K493" s="1" t="s">
        <v>3489</v>
      </c>
      <c r="L493" s="1" t="s">
        <v>3490</v>
      </c>
      <c r="M493" s="1" t="s">
        <v>2890</v>
      </c>
      <c r="N493" s="1" t="s">
        <v>3491</v>
      </c>
      <c r="O493" s="1">
        <v>1</v>
      </c>
      <c r="P493" s="1" t="s">
        <v>3219</v>
      </c>
      <c r="Q493" s="1">
        <v>1999</v>
      </c>
      <c r="R493" s="1" t="s">
        <v>3220</v>
      </c>
      <c r="S493" s="1" t="s">
        <v>27</v>
      </c>
      <c r="T493" s="6">
        <v>1</v>
      </c>
      <c r="AH493" s="1">
        <v>1.01</v>
      </c>
      <c r="EY493" s="1">
        <v>48.7</v>
      </c>
    </row>
    <row r="494" spans="1:155" x14ac:dyDescent="0.2">
      <c r="A494" s="1" t="s">
        <v>3492</v>
      </c>
      <c r="B494" s="1" t="s">
        <v>55</v>
      </c>
      <c r="C494" s="1" t="s">
        <v>236</v>
      </c>
      <c r="E494" s="1">
        <v>34</v>
      </c>
      <c r="F494" s="1" t="s">
        <v>3486</v>
      </c>
      <c r="H494" s="1" t="s">
        <v>3487</v>
      </c>
      <c r="I494" s="1" t="s">
        <v>7</v>
      </c>
      <c r="J494" s="1" t="s">
        <v>3488</v>
      </c>
      <c r="K494" s="1" t="s">
        <v>3489</v>
      </c>
      <c r="L494" s="1" t="s">
        <v>3490</v>
      </c>
      <c r="O494" s="1">
        <v>1</v>
      </c>
      <c r="P494" s="1" t="s">
        <v>3219</v>
      </c>
      <c r="Q494" s="1">
        <v>1999</v>
      </c>
      <c r="R494" s="1" t="s">
        <v>3220</v>
      </c>
      <c r="S494" s="1" t="s">
        <v>27</v>
      </c>
      <c r="T494" s="6">
        <v>1</v>
      </c>
      <c r="AH494" s="1">
        <v>0.89</v>
      </c>
      <c r="EY494" s="1">
        <v>43.1</v>
      </c>
    </row>
    <row r="495" spans="1:155" x14ac:dyDescent="0.2">
      <c r="A495" s="1" t="s">
        <v>3493</v>
      </c>
      <c r="B495" s="1" t="s">
        <v>55</v>
      </c>
      <c r="C495" s="1" t="s">
        <v>236</v>
      </c>
      <c r="E495" s="1">
        <v>38</v>
      </c>
      <c r="F495" s="1" t="s">
        <v>3494</v>
      </c>
      <c r="H495" s="1" t="s">
        <v>3495</v>
      </c>
      <c r="I495" s="1" t="s">
        <v>7</v>
      </c>
      <c r="J495" s="1" t="s">
        <v>3496</v>
      </c>
      <c r="K495" s="1" t="s">
        <v>3497</v>
      </c>
      <c r="L495" s="1" t="s">
        <v>3498</v>
      </c>
      <c r="M495" s="1" t="s">
        <v>2890</v>
      </c>
      <c r="N495" s="1" t="s">
        <v>3499</v>
      </c>
      <c r="O495" s="1">
        <v>1</v>
      </c>
      <c r="P495" s="1" t="s">
        <v>3219</v>
      </c>
      <c r="Q495" s="1">
        <v>1999</v>
      </c>
      <c r="R495" s="1" t="s">
        <v>3220</v>
      </c>
      <c r="S495" s="1" t="s">
        <v>27</v>
      </c>
      <c r="T495" s="6">
        <v>1</v>
      </c>
      <c r="AH495" s="1">
        <v>0.67</v>
      </c>
      <c r="EY495" s="1">
        <v>56</v>
      </c>
    </row>
    <row r="496" spans="1:155" x14ac:dyDescent="0.2">
      <c r="A496" s="1" t="s">
        <v>3500</v>
      </c>
      <c r="B496" s="1" t="s">
        <v>55</v>
      </c>
      <c r="C496" s="1" t="s">
        <v>236</v>
      </c>
      <c r="E496" s="1">
        <v>33</v>
      </c>
      <c r="F496" s="1" t="s">
        <v>3501</v>
      </c>
      <c r="H496" s="1" t="s">
        <v>3502</v>
      </c>
      <c r="I496" s="1" t="s">
        <v>7</v>
      </c>
      <c r="J496" s="1" t="s">
        <v>3503</v>
      </c>
      <c r="K496" s="1" t="s">
        <v>3504</v>
      </c>
      <c r="L496" s="1" t="s">
        <v>3505</v>
      </c>
      <c r="M496" s="1" t="s">
        <v>2890</v>
      </c>
      <c r="N496" s="1" t="s">
        <v>3506</v>
      </c>
      <c r="O496" s="1">
        <v>1</v>
      </c>
      <c r="P496" s="1" t="s">
        <v>3219</v>
      </c>
      <c r="Q496" s="1">
        <v>1999</v>
      </c>
      <c r="R496" s="1" t="s">
        <v>3220</v>
      </c>
      <c r="S496" s="1" t="s">
        <v>27</v>
      </c>
      <c r="T496" s="6">
        <v>1</v>
      </c>
      <c r="AH496" s="1">
        <v>0.8</v>
      </c>
      <c r="EY496" s="1">
        <v>63.4</v>
      </c>
    </row>
    <row r="497" spans="1:155" x14ac:dyDescent="0.2">
      <c r="A497" s="1" t="s">
        <v>3507</v>
      </c>
      <c r="B497" s="1" t="s">
        <v>55</v>
      </c>
      <c r="C497" s="1" t="s">
        <v>236</v>
      </c>
      <c r="E497" s="1">
        <v>33</v>
      </c>
      <c r="F497" s="1" t="s">
        <v>2396</v>
      </c>
      <c r="H497" s="1" t="s">
        <v>3502</v>
      </c>
      <c r="I497" s="1" t="s">
        <v>7</v>
      </c>
      <c r="J497" s="1" t="s">
        <v>2398</v>
      </c>
      <c r="K497" s="1" t="s">
        <v>2399</v>
      </c>
      <c r="L497" s="1" t="s">
        <v>2398</v>
      </c>
      <c r="M497" s="1" t="s">
        <v>2890</v>
      </c>
      <c r="N497" s="1" t="s">
        <v>3508</v>
      </c>
      <c r="O497" s="1">
        <v>1</v>
      </c>
      <c r="P497" s="1" t="s">
        <v>3219</v>
      </c>
      <c r="Q497" s="1">
        <v>1999</v>
      </c>
      <c r="R497" s="1" t="s">
        <v>3220</v>
      </c>
      <c r="S497" s="1" t="s">
        <v>27</v>
      </c>
      <c r="T497" s="6">
        <v>1</v>
      </c>
      <c r="AH497" s="1">
        <v>0.83</v>
      </c>
      <c r="EY497" s="1">
        <v>56.4</v>
      </c>
    </row>
    <row r="498" spans="1:155" x14ac:dyDescent="0.2">
      <c r="A498" s="1" t="s">
        <v>3509</v>
      </c>
      <c r="B498" s="1" t="s">
        <v>55</v>
      </c>
      <c r="C498" s="1" t="s">
        <v>236</v>
      </c>
      <c r="E498" s="1">
        <v>33</v>
      </c>
      <c r="F498" s="1" t="s">
        <v>3510</v>
      </c>
      <c r="H498" s="1" t="s">
        <v>3511</v>
      </c>
      <c r="I498" s="1" t="s">
        <v>7</v>
      </c>
      <c r="J498" s="1" t="s">
        <v>3512</v>
      </c>
      <c r="L498" s="1" t="s">
        <v>3513</v>
      </c>
      <c r="M498" s="1" t="s">
        <v>817</v>
      </c>
      <c r="N498" s="1" t="s">
        <v>3514</v>
      </c>
      <c r="O498" s="1">
        <v>1</v>
      </c>
      <c r="P498" s="1" t="s">
        <v>3219</v>
      </c>
      <c r="Q498" s="1">
        <v>1999</v>
      </c>
      <c r="R498" s="1" t="s">
        <v>3220</v>
      </c>
      <c r="S498" s="1" t="s">
        <v>27</v>
      </c>
      <c r="T498" s="6">
        <v>1</v>
      </c>
      <c r="AH498" s="1">
        <v>1.56</v>
      </c>
      <c r="EY498" s="1">
        <v>46.5</v>
      </c>
    </row>
    <row r="499" spans="1:155" x14ac:dyDescent="0.2">
      <c r="A499" s="1" t="s">
        <v>3515</v>
      </c>
      <c r="B499" s="1" t="s">
        <v>55</v>
      </c>
      <c r="C499" s="1" t="s">
        <v>236</v>
      </c>
      <c r="E499" s="1">
        <v>33</v>
      </c>
      <c r="F499" s="1" t="s">
        <v>2005</v>
      </c>
      <c r="H499" s="1" t="s">
        <v>3516</v>
      </c>
      <c r="I499" s="1" t="s">
        <v>7</v>
      </c>
      <c r="J499" s="1" t="s">
        <v>3517</v>
      </c>
      <c r="K499" s="1" t="s">
        <v>2009</v>
      </c>
      <c r="L499" s="1" t="s">
        <v>3518</v>
      </c>
      <c r="N499" s="1" t="s">
        <v>3519</v>
      </c>
      <c r="O499" s="1">
        <v>1</v>
      </c>
      <c r="P499" s="1" t="s">
        <v>3219</v>
      </c>
      <c r="Q499" s="1">
        <v>1999</v>
      </c>
      <c r="R499" s="1" t="s">
        <v>3220</v>
      </c>
      <c r="S499" s="1" t="s">
        <v>27</v>
      </c>
      <c r="T499" s="6">
        <v>1</v>
      </c>
      <c r="AH499" s="1">
        <v>0.85</v>
      </c>
      <c r="EY499" s="1">
        <v>63.7</v>
      </c>
    </row>
    <row r="500" spans="1:155" x14ac:dyDescent="0.2">
      <c r="A500" s="1" t="s">
        <v>3520</v>
      </c>
      <c r="B500" s="1" t="s">
        <v>55</v>
      </c>
      <c r="C500" s="1" t="s">
        <v>236</v>
      </c>
      <c r="E500" s="1">
        <v>33</v>
      </c>
      <c r="F500" s="1" t="s">
        <v>3521</v>
      </c>
      <c r="H500" s="1" t="s">
        <v>3522</v>
      </c>
      <c r="I500" s="1" t="s">
        <v>7</v>
      </c>
      <c r="J500" s="1" t="s">
        <v>3523</v>
      </c>
      <c r="K500" s="1" t="s">
        <v>3524</v>
      </c>
      <c r="L500" s="1" t="s">
        <v>3525</v>
      </c>
      <c r="M500" s="1" t="s">
        <v>2890</v>
      </c>
      <c r="N500" s="1" t="s">
        <v>3526</v>
      </c>
      <c r="O500" s="1">
        <v>1</v>
      </c>
      <c r="P500" s="1" t="s">
        <v>3219</v>
      </c>
      <c r="Q500" s="1">
        <v>1999</v>
      </c>
      <c r="R500" s="1" t="s">
        <v>3220</v>
      </c>
      <c r="S500" s="1" t="s">
        <v>27</v>
      </c>
      <c r="T500" s="6">
        <v>1</v>
      </c>
      <c r="AH500" s="1">
        <v>1.08</v>
      </c>
      <c r="EY500" s="1">
        <v>68.5</v>
      </c>
    </row>
    <row r="501" spans="1:155" x14ac:dyDescent="0.2">
      <c r="A501" s="1" t="s">
        <v>3527</v>
      </c>
      <c r="B501" s="1" t="s">
        <v>55</v>
      </c>
      <c r="C501" s="1" t="s">
        <v>236</v>
      </c>
      <c r="E501" s="1">
        <v>33</v>
      </c>
      <c r="F501" s="1" t="s">
        <v>3528</v>
      </c>
      <c r="H501" s="1" t="s">
        <v>3529</v>
      </c>
      <c r="I501" s="1" t="s">
        <v>7</v>
      </c>
      <c r="J501" s="1" t="s">
        <v>3530</v>
      </c>
      <c r="K501" s="1" t="s">
        <v>3531</v>
      </c>
      <c r="L501" s="1" t="s">
        <v>3532</v>
      </c>
      <c r="M501" s="1" t="s">
        <v>2890</v>
      </c>
      <c r="N501" s="1" t="s">
        <v>3533</v>
      </c>
      <c r="O501" s="1">
        <v>1</v>
      </c>
      <c r="P501" s="1" t="s">
        <v>3219</v>
      </c>
      <c r="Q501" s="1">
        <v>1999</v>
      </c>
      <c r="R501" s="1" t="s">
        <v>3220</v>
      </c>
      <c r="S501" s="1" t="s">
        <v>27</v>
      </c>
      <c r="T501" s="6">
        <v>1</v>
      </c>
      <c r="AH501" s="1">
        <v>0.52</v>
      </c>
      <c r="EY501" s="1">
        <v>53.1</v>
      </c>
    </row>
    <row r="502" spans="1:155" x14ac:dyDescent="0.2">
      <c r="A502" s="1" t="s">
        <v>3534</v>
      </c>
      <c r="B502" s="1" t="s">
        <v>55</v>
      </c>
      <c r="C502" s="1" t="s">
        <v>236</v>
      </c>
      <c r="E502" s="1">
        <v>31</v>
      </c>
      <c r="F502" s="1" t="s">
        <v>3535</v>
      </c>
      <c r="H502" s="1" t="s">
        <v>3536</v>
      </c>
      <c r="I502" s="1" t="s">
        <v>7</v>
      </c>
      <c r="J502" s="1" t="s">
        <v>3537</v>
      </c>
      <c r="K502" s="1" t="s">
        <v>3538</v>
      </c>
      <c r="L502" s="1" t="s">
        <v>3537</v>
      </c>
      <c r="M502" s="1" t="s">
        <v>2890</v>
      </c>
      <c r="N502" s="1" t="s">
        <v>3539</v>
      </c>
      <c r="O502" s="1">
        <v>1</v>
      </c>
      <c r="P502" s="1" t="s">
        <v>3219</v>
      </c>
      <c r="Q502" s="1">
        <v>1999</v>
      </c>
      <c r="R502" s="1" t="s">
        <v>3220</v>
      </c>
      <c r="S502" s="1" t="s">
        <v>27</v>
      </c>
      <c r="T502" s="6">
        <v>1</v>
      </c>
      <c r="AH502" s="1">
        <v>0.54</v>
      </c>
      <c r="EY502" s="1">
        <v>41.6</v>
      </c>
    </row>
    <row r="503" spans="1:155" x14ac:dyDescent="0.2">
      <c r="A503" s="1" t="s">
        <v>3540</v>
      </c>
      <c r="B503" s="1" t="s">
        <v>55</v>
      </c>
      <c r="C503" s="1" t="s">
        <v>236</v>
      </c>
      <c r="E503" s="1">
        <v>33</v>
      </c>
      <c r="F503" s="1" t="s">
        <v>3541</v>
      </c>
      <c r="H503" s="1" t="s">
        <v>3542</v>
      </c>
      <c r="I503" s="1" t="s">
        <v>7</v>
      </c>
      <c r="J503" s="1" t="s">
        <v>3543</v>
      </c>
      <c r="K503" s="1" t="s">
        <v>3544</v>
      </c>
      <c r="L503" s="1" t="s">
        <v>3543</v>
      </c>
      <c r="M503" s="1" t="s">
        <v>2967</v>
      </c>
      <c r="N503" s="1" t="s">
        <v>3545</v>
      </c>
      <c r="O503" s="1">
        <v>1</v>
      </c>
      <c r="P503" s="1" t="s">
        <v>3219</v>
      </c>
      <c r="Q503" s="1">
        <v>1999</v>
      </c>
      <c r="R503" s="1" t="s">
        <v>3220</v>
      </c>
      <c r="S503" s="1" t="s">
        <v>27</v>
      </c>
      <c r="T503" s="6">
        <v>1</v>
      </c>
      <c r="AH503" s="1">
        <v>1.56</v>
      </c>
      <c r="EY503" s="1">
        <v>38.799999999999997</v>
      </c>
    </row>
    <row r="504" spans="1:155" x14ac:dyDescent="0.2">
      <c r="A504" s="1" t="s">
        <v>3546</v>
      </c>
      <c r="B504" s="1" t="s">
        <v>55</v>
      </c>
      <c r="C504" s="1" t="s">
        <v>236</v>
      </c>
      <c r="E504" s="1">
        <v>33</v>
      </c>
      <c r="F504" s="1" t="s">
        <v>3547</v>
      </c>
      <c r="H504" s="1" t="s">
        <v>3548</v>
      </c>
      <c r="I504" s="1" t="s">
        <v>7</v>
      </c>
      <c r="J504" s="1" t="s">
        <v>3549</v>
      </c>
      <c r="L504" s="1" t="s">
        <v>3550</v>
      </c>
      <c r="M504" s="1" t="s">
        <v>481</v>
      </c>
      <c r="N504" s="1" t="s">
        <v>3551</v>
      </c>
      <c r="O504" s="1">
        <v>1</v>
      </c>
      <c r="P504" s="1" t="s">
        <v>3219</v>
      </c>
      <c r="Q504" s="1">
        <v>1999</v>
      </c>
      <c r="R504" s="1" t="s">
        <v>3220</v>
      </c>
      <c r="S504" s="1" t="s">
        <v>27</v>
      </c>
      <c r="T504" s="6">
        <v>1</v>
      </c>
      <c r="AH504" s="1">
        <v>1.2</v>
      </c>
      <c r="EY504" s="1">
        <v>74</v>
      </c>
    </row>
    <row r="505" spans="1:155" x14ac:dyDescent="0.2">
      <c r="A505" s="1" t="s">
        <v>3552</v>
      </c>
      <c r="B505" s="1" t="s">
        <v>55</v>
      </c>
      <c r="C505" s="1" t="s">
        <v>236</v>
      </c>
      <c r="E505" s="1">
        <v>33</v>
      </c>
      <c r="F505" s="1" t="s">
        <v>3553</v>
      </c>
      <c r="H505" s="1" t="s">
        <v>3554</v>
      </c>
      <c r="I505" s="1" t="s">
        <v>7</v>
      </c>
      <c r="J505" s="1" t="s">
        <v>3555</v>
      </c>
      <c r="K505" s="1" t="s">
        <v>3556</v>
      </c>
      <c r="L505" s="1" t="s">
        <v>3557</v>
      </c>
      <c r="M505" s="1" t="s">
        <v>749</v>
      </c>
      <c r="N505" s="1" t="s">
        <v>3558</v>
      </c>
      <c r="O505" s="1">
        <v>1</v>
      </c>
      <c r="P505" s="1" t="s">
        <v>3219</v>
      </c>
      <c r="Q505" s="1">
        <v>1999</v>
      </c>
      <c r="R505" s="1" t="s">
        <v>3220</v>
      </c>
      <c r="S505" s="1" t="s">
        <v>27</v>
      </c>
      <c r="T505" s="6">
        <v>1</v>
      </c>
      <c r="AH505" s="1">
        <v>0.6</v>
      </c>
      <c r="EY505" s="1">
        <v>69.599999999999994</v>
      </c>
    </row>
    <row r="506" spans="1:155" x14ac:dyDescent="0.2">
      <c r="A506" s="1" t="s">
        <v>3559</v>
      </c>
      <c r="B506" s="1" t="s">
        <v>55</v>
      </c>
      <c r="C506" s="1" t="s">
        <v>236</v>
      </c>
      <c r="E506" s="1">
        <v>33</v>
      </c>
      <c r="F506" s="1" t="s">
        <v>3553</v>
      </c>
      <c r="H506" s="1" t="s">
        <v>3554</v>
      </c>
      <c r="I506" s="1" t="s">
        <v>7</v>
      </c>
      <c r="J506" s="1" t="s">
        <v>3555</v>
      </c>
      <c r="K506" s="1" t="s">
        <v>3556</v>
      </c>
      <c r="L506" s="1" t="s">
        <v>3557</v>
      </c>
      <c r="M506" s="1" t="s">
        <v>749</v>
      </c>
      <c r="N506" s="1" t="s">
        <v>3560</v>
      </c>
      <c r="O506" s="1">
        <v>1</v>
      </c>
      <c r="P506" s="1" t="s">
        <v>3219</v>
      </c>
      <c r="Q506" s="1">
        <v>1999</v>
      </c>
      <c r="R506" s="1" t="s">
        <v>3220</v>
      </c>
      <c r="S506" s="1" t="s">
        <v>27</v>
      </c>
      <c r="T506" s="6">
        <v>1</v>
      </c>
      <c r="AH506" s="1">
        <v>0.8</v>
      </c>
      <c r="EY506" s="1">
        <v>72.099999999999994</v>
      </c>
    </row>
    <row r="507" spans="1:155" x14ac:dyDescent="0.2">
      <c r="A507" s="1" t="s">
        <v>3561</v>
      </c>
      <c r="B507" s="1" t="s">
        <v>55</v>
      </c>
      <c r="C507" s="1" t="s">
        <v>236</v>
      </c>
      <c r="E507" s="1">
        <v>33</v>
      </c>
      <c r="F507" s="1" t="s">
        <v>3547</v>
      </c>
      <c r="H507" s="1" t="s">
        <v>3562</v>
      </c>
      <c r="I507" s="1" t="s">
        <v>7</v>
      </c>
      <c r="J507" s="1" t="s">
        <v>3563</v>
      </c>
      <c r="L507" s="1" t="s">
        <v>3550</v>
      </c>
      <c r="M507" s="1" t="s">
        <v>2890</v>
      </c>
      <c r="N507" s="1" t="s">
        <v>3564</v>
      </c>
      <c r="O507" s="1">
        <v>1</v>
      </c>
      <c r="P507" s="1" t="s">
        <v>3219</v>
      </c>
      <c r="Q507" s="1">
        <v>1999</v>
      </c>
      <c r="R507" s="1" t="s">
        <v>3220</v>
      </c>
      <c r="S507" s="1" t="s">
        <v>27</v>
      </c>
      <c r="T507" s="6">
        <v>1</v>
      </c>
      <c r="AH507" s="1">
        <v>0.87</v>
      </c>
      <c r="EY507" s="1">
        <v>65.599999999999994</v>
      </c>
    </row>
    <row r="508" spans="1:155" x14ac:dyDescent="0.2">
      <c r="A508" s="1" t="s">
        <v>3565</v>
      </c>
      <c r="B508" s="1" t="s">
        <v>55</v>
      </c>
      <c r="C508" s="1" t="s">
        <v>236</v>
      </c>
      <c r="E508" s="1">
        <v>33</v>
      </c>
      <c r="F508" s="1" t="s">
        <v>3566</v>
      </c>
      <c r="H508" s="1" t="s">
        <v>3567</v>
      </c>
      <c r="I508" s="1" t="s">
        <v>7</v>
      </c>
      <c r="J508" s="1" t="s">
        <v>3568</v>
      </c>
      <c r="K508" s="1" t="s">
        <v>3569</v>
      </c>
      <c r="L508" s="1" t="s">
        <v>3570</v>
      </c>
      <c r="M508" s="1" t="s">
        <v>2890</v>
      </c>
      <c r="N508" s="1" t="s">
        <v>3571</v>
      </c>
      <c r="O508" s="1">
        <v>1</v>
      </c>
      <c r="P508" s="1" t="s">
        <v>3219</v>
      </c>
      <c r="Q508" s="1">
        <v>1999</v>
      </c>
      <c r="R508" s="1" t="s">
        <v>3220</v>
      </c>
      <c r="S508" s="1" t="s">
        <v>27</v>
      </c>
      <c r="T508" s="6">
        <v>1</v>
      </c>
      <c r="AH508" s="1">
        <v>0.81</v>
      </c>
      <c r="EY508" s="1">
        <v>41.7</v>
      </c>
    </row>
    <row r="509" spans="1:155" x14ac:dyDescent="0.2">
      <c r="A509" s="1" t="s">
        <v>3572</v>
      </c>
      <c r="B509" s="1" t="s">
        <v>55</v>
      </c>
      <c r="C509" s="1" t="s">
        <v>236</v>
      </c>
      <c r="E509" s="1">
        <v>33</v>
      </c>
      <c r="F509" s="1" t="s">
        <v>3553</v>
      </c>
      <c r="H509" s="1" t="s">
        <v>3554</v>
      </c>
      <c r="I509" s="1" t="s">
        <v>7</v>
      </c>
      <c r="J509" s="1" t="s">
        <v>3573</v>
      </c>
      <c r="K509" s="1" t="s">
        <v>3556</v>
      </c>
      <c r="L509" s="1" t="s">
        <v>3557</v>
      </c>
      <c r="M509" s="1" t="s">
        <v>2890</v>
      </c>
      <c r="N509" s="1" t="s">
        <v>3574</v>
      </c>
      <c r="O509" s="1">
        <v>1</v>
      </c>
      <c r="P509" s="1" t="s">
        <v>3219</v>
      </c>
      <c r="Q509" s="1">
        <v>1999</v>
      </c>
      <c r="R509" s="1" t="s">
        <v>3220</v>
      </c>
      <c r="S509" s="1" t="s">
        <v>27</v>
      </c>
      <c r="T509" s="6">
        <v>1</v>
      </c>
      <c r="AH509" s="1">
        <v>0.85</v>
      </c>
      <c r="EY509" s="1">
        <v>59.7</v>
      </c>
    </row>
    <row r="510" spans="1:155" x14ac:dyDescent="0.2">
      <c r="A510" s="1" t="s">
        <v>3575</v>
      </c>
      <c r="B510" s="1" t="s">
        <v>55</v>
      </c>
      <c r="C510" s="1" t="s">
        <v>236</v>
      </c>
      <c r="E510" s="1">
        <v>37</v>
      </c>
      <c r="F510" s="1" t="s">
        <v>2043</v>
      </c>
      <c r="H510" s="1" t="s">
        <v>3576</v>
      </c>
      <c r="I510" s="1" t="s">
        <v>7</v>
      </c>
      <c r="J510" s="1" t="s">
        <v>2046</v>
      </c>
      <c r="K510" s="1" t="s">
        <v>2047</v>
      </c>
      <c r="L510" s="1" t="s">
        <v>2046</v>
      </c>
      <c r="M510" s="1" t="s">
        <v>749</v>
      </c>
      <c r="N510" s="1" t="s">
        <v>3577</v>
      </c>
      <c r="O510" s="1">
        <v>1</v>
      </c>
      <c r="P510" s="1" t="s">
        <v>3219</v>
      </c>
      <c r="Q510" s="1">
        <v>1999</v>
      </c>
      <c r="R510" s="1" t="s">
        <v>3220</v>
      </c>
      <c r="S510" s="1" t="s">
        <v>27</v>
      </c>
      <c r="T510" s="6">
        <v>1</v>
      </c>
      <c r="AH510" s="1">
        <v>6.84</v>
      </c>
      <c r="EY510" s="1">
        <v>51.4</v>
      </c>
    </row>
    <row r="511" spans="1:155" x14ac:dyDescent="0.2">
      <c r="A511" s="1" t="s">
        <v>3578</v>
      </c>
      <c r="B511" s="1" t="s">
        <v>55</v>
      </c>
      <c r="C511" s="1" t="s">
        <v>236</v>
      </c>
      <c r="E511" s="1">
        <v>37</v>
      </c>
      <c r="F511" s="1" t="s">
        <v>2043</v>
      </c>
      <c r="H511" s="1" t="s">
        <v>3579</v>
      </c>
      <c r="I511" s="1" t="s">
        <v>7</v>
      </c>
      <c r="J511" s="1" t="s">
        <v>2046</v>
      </c>
      <c r="K511" s="1" t="s">
        <v>2047</v>
      </c>
      <c r="L511" s="1" t="s">
        <v>2046</v>
      </c>
      <c r="M511" s="1" t="s">
        <v>1293</v>
      </c>
      <c r="N511" s="1" t="s">
        <v>3580</v>
      </c>
      <c r="O511" s="1">
        <v>1</v>
      </c>
      <c r="P511" s="1" t="s">
        <v>3219</v>
      </c>
      <c r="Q511" s="1">
        <v>1999</v>
      </c>
      <c r="R511" s="1" t="s">
        <v>3220</v>
      </c>
      <c r="S511" s="1" t="s">
        <v>27</v>
      </c>
      <c r="T511" s="6">
        <v>1</v>
      </c>
      <c r="AH511" s="1">
        <v>7.65</v>
      </c>
      <c r="EY511" s="1">
        <v>58.4</v>
      </c>
    </row>
    <row r="512" spans="1:155" x14ac:dyDescent="0.2">
      <c r="A512" s="1" t="s">
        <v>3581</v>
      </c>
      <c r="B512" s="1" t="s">
        <v>55</v>
      </c>
      <c r="C512" s="1" t="s">
        <v>236</v>
      </c>
      <c r="E512" s="1">
        <v>37</v>
      </c>
      <c r="F512" s="1" t="s">
        <v>2043</v>
      </c>
      <c r="H512" s="1" t="s">
        <v>3582</v>
      </c>
      <c r="I512" s="1" t="s">
        <v>7</v>
      </c>
      <c r="J512" s="1" t="s">
        <v>2046</v>
      </c>
      <c r="K512" s="1" t="s">
        <v>2047</v>
      </c>
      <c r="L512" s="1" t="s">
        <v>2046</v>
      </c>
      <c r="M512" s="1" t="s">
        <v>758</v>
      </c>
      <c r="N512" s="1" t="s">
        <v>3583</v>
      </c>
      <c r="O512" s="1">
        <v>1</v>
      </c>
      <c r="P512" s="1" t="s">
        <v>3219</v>
      </c>
      <c r="Q512" s="1">
        <v>1999</v>
      </c>
      <c r="R512" s="1" t="s">
        <v>3220</v>
      </c>
      <c r="S512" s="1" t="s">
        <v>27</v>
      </c>
      <c r="T512" s="6">
        <v>1</v>
      </c>
      <c r="AH512" s="1">
        <v>5.09</v>
      </c>
      <c r="EY512" s="1">
        <v>55.6</v>
      </c>
    </row>
    <row r="513" spans="1:155" x14ac:dyDescent="0.2">
      <c r="A513" s="1" t="s">
        <v>3584</v>
      </c>
      <c r="B513" s="1" t="s">
        <v>55</v>
      </c>
      <c r="C513" s="1" t="s">
        <v>236</v>
      </c>
      <c r="E513" s="1">
        <v>37</v>
      </c>
      <c r="F513" s="1" t="s">
        <v>2043</v>
      </c>
      <c r="H513" s="1" t="s">
        <v>3585</v>
      </c>
      <c r="I513" s="1" t="s">
        <v>7</v>
      </c>
      <c r="J513" s="1" t="s">
        <v>2046</v>
      </c>
      <c r="K513" s="1" t="s">
        <v>2047</v>
      </c>
      <c r="L513" s="1" t="s">
        <v>2046</v>
      </c>
      <c r="M513" s="1" t="s">
        <v>758</v>
      </c>
      <c r="N513" s="1" t="s">
        <v>3586</v>
      </c>
      <c r="O513" s="1">
        <v>1</v>
      </c>
      <c r="P513" s="1" t="s">
        <v>3219</v>
      </c>
      <c r="Q513" s="1">
        <v>1999</v>
      </c>
      <c r="R513" s="1" t="s">
        <v>3220</v>
      </c>
      <c r="S513" s="1" t="s">
        <v>27</v>
      </c>
      <c r="T513" s="6">
        <v>1</v>
      </c>
      <c r="AH513" s="1">
        <v>2.08</v>
      </c>
      <c r="EY513" s="1">
        <v>64.8</v>
      </c>
    </row>
    <row r="514" spans="1:155" x14ac:dyDescent="0.2">
      <c r="A514" s="1" t="s">
        <v>3587</v>
      </c>
      <c r="B514" s="1" t="s">
        <v>55</v>
      </c>
      <c r="C514" s="1" t="s">
        <v>236</v>
      </c>
      <c r="E514" s="1">
        <v>37</v>
      </c>
      <c r="F514" s="1" t="s">
        <v>2043</v>
      </c>
      <c r="H514" s="1" t="s">
        <v>3579</v>
      </c>
      <c r="I514" s="1" t="s">
        <v>7</v>
      </c>
      <c r="J514" s="1" t="s">
        <v>2046</v>
      </c>
      <c r="K514" s="1" t="s">
        <v>2047</v>
      </c>
      <c r="L514" s="1" t="s">
        <v>2046</v>
      </c>
      <c r="M514" s="1" t="s">
        <v>481</v>
      </c>
      <c r="N514" s="1" t="s">
        <v>3588</v>
      </c>
      <c r="O514" s="1">
        <v>1</v>
      </c>
      <c r="P514" s="1" t="s">
        <v>3219</v>
      </c>
      <c r="Q514" s="1">
        <v>1999</v>
      </c>
      <c r="R514" s="1" t="s">
        <v>3220</v>
      </c>
      <c r="S514" s="1" t="s">
        <v>27</v>
      </c>
      <c r="T514" s="6">
        <v>1</v>
      </c>
      <c r="AH514" s="1">
        <v>5.17</v>
      </c>
      <c r="EY514" s="1">
        <v>65.400000000000006</v>
      </c>
    </row>
    <row r="515" spans="1:155" x14ac:dyDescent="0.2">
      <c r="A515" s="1" t="s">
        <v>3589</v>
      </c>
      <c r="B515" s="1" t="s">
        <v>55</v>
      </c>
      <c r="C515" s="1" t="s">
        <v>236</v>
      </c>
      <c r="E515" s="1">
        <v>13</v>
      </c>
      <c r="F515" s="1" t="s">
        <v>2455</v>
      </c>
      <c r="H515" s="1" t="s">
        <v>3590</v>
      </c>
      <c r="I515" s="1" t="s">
        <v>7</v>
      </c>
      <c r="J515" s="1" t="s">
        <v>3591</v>
      </c>
      <c r="K515" s="1" t="s">
        <v>2459</v>
      </c>
      <c r="L515" s="1" t="s">
        <v>2460</v>
      </c>
      <c r="M515" s="1" t="s">
        <v>481</v>
      </c>
      <c r="N515" s="1" t="s">
        <v>3592</v>
      </c>
      <c r="O515" s="1">
        <v>1</v>
      </c>
      <c r="P515" s="1" t="s">
        <v>3219</v>
      </c>
      <c r="Q515" s="1">
        <v>1999</v>
      </c>
      <c r="R515" s="1" t="s">
        <v>3220</v>
      </c>
      <c r="S515" s="1" t="s">
        <v>27</v>
      </c>
      <c r="T515" s="6">
        <v>1</v>
      </c>
      <c r="AH515" s="1">
        <v>1.38</v>
      </c>
      <c r="EY515" s="1">
        <v>59.3</v>
      </c>
    </row>
    <row r="516" spans="1:155" x14ac:dyDescent="0.2">
      <c r="A516" s="1" t="s">
        <v>3593</v>
      </c>
      <c r="B516" s="1" t="s">
        <v>55</v>
      </c>
      <c r="C516" s="1" t="s">
        <v>236</v>
      </c>
      <c r="E516" s="1">
        <v>37</v>
      </c>
      <c r="F516" s="1" t="s">
        <v>2043</v>
      </c>
      <c r="H516" s="1" t="s">
        <v>3576</v>
      </c>
      <c r="I516" s="1" t="s">
        <v>7</v>
      </c>
      <c r="J516" s="1" t="s">
        <v>2046</v>
      </c>
      <c r="K516" s="1" t="s">
        <v>2047</v>
      </c>
      <c r="L516" s="1" t="s">
        <v>2046</v>
      </c>
      <c r="M516" s="1" t="s">
        <v>2890</v>
      </c>
      <c r="N516" s="1" t="s">
        <v>3594</v>
      </c>
      <c r="O516" s="1">
        <v>1</v>
      </c>
      <c r="P516" s="1" t="s">
        <v>3219</v>
      </c>
      <c r="Q516" s="1">
        <v>1999</v>
      </c>
      <c r="R516" s="1" t="s">
        <v>3220</v>
      </c>
      <c r="S516" s="1" t="s">
        <v>27</v>
      </c>
      <c r="T516" s="6">
        <v>1</v>
      </c>
      <c r="AH516" s="1">
        <v>1.94</v>
      </c>
      <c r="EY516" s="1">
        <v>69.7</v>
      </c>
    </row>
    <row r="517" spans="1:155" x14ac:dyDescent="0.2">
      <c r="A517" s="1" t="s">
        <v>3595</v>
      </c>
      <c r="B517" s="1" t="s">
        <v>55</v>
      </c>
      <c r="C517" s="1" t="s">
        <v>236</v>
      </c>
      <c r="E517" s="1">
        <v>13</v>
      </c>
      <c r="F517" s="1" t="s">
        <v>2455</v>
      </c>
      <c r="H517" s="1" t="s">
        <v>3590</v>
      </c>
      <c r="I517" s="1" t="s">
        <v>7</v>
      </c>
      <c r="J517" s="1" t="s">
        <v>3591</v>
      </c>
      <c r="K517" s="1" t="s">
        <v>2459</v>
      </c>
      <c r="L517" s="1" t="s">
        <v>2460</v>
      </c>
      <c r="M517" s="1" t="s">
        <v>2890</v>
      </c>
      <c r="N517" s="1" t="s">
        <v>3596</v>
      </c>
      <c r="O517" s="1">
        <v>1</v>
      </c>
      <c r="P517" s="1" t="s">
        <v>3219</v>
      </c>
      <c r="Q517" s="1">
        <v>1999</v>
      </c>
      <c r="R517" s="1" t="s">
        <v>3220</v>
      </c>
      <c r="S517" s="1" t="s">
        <v>27</v>
      </c>
      <c r="T517" s="6">
        <v>1</v>
      </c>
      <c r="AH517" s="1">
        <v>0.68</v>
      </c>
      <c r="EY517" s="1">
        <v>65.599999999999994</v>
      </c>
    </row>
    <row r="518" spans="1:155" x14ac:dyDescent="0.2">
      <c r="A518" s="1" t="s">
        <v>3597</v>
      </c>
      <c r="B518" s="1" t="s">
        <v>55</v>
      </c>
      <c r="C518" s="1" t="s">
        <v>236</v>
      </c>
      <c r="E518" s="1">
        <v>33</v>
      </c>
      <c r="F518" s="1" t="s">
        <v>3598</v>
      </c>
      <c r="H518" s="1" t="s">
        <v>3599</v>
      </c>
      <c r="I518" s="1" t="s">
        <v>7</v>
      </c>
      <c r="J518" s="1" t="s">
        <v>3600</v>
      </c>
      <c r="K518" s="1" t="s">
        <v>3601</v>
      </c>
      <c r="L518" s="1" t="s">
        <v>3602</v>
      </c>
      <c r="M518" s="1" t="s">
        <v>2890</v>
      </c>
      <c r="N518" s="1" t="s">
        <v>3603</v>
      </c>
      <c r="O518" s="1">
        <v>1</v>
      </c>
      <c r="P518" s="1" t="s">
        <v>3219</v>
      </c>
      <c r="Q518" s="1">
        <v>1999</v>
      </c>
      <c r="R518" s="1" t="s">
        <v>3220</v>
      </c>
      <c r="S518" s="1" t="s">
        <v>27</v>
      </c>
      <c r="T518" s="6">
        <v>1</v>
      </c>
      <c r="AH518" s="1">
        <v>0.42</v>
      </c>
      <c r="EY518" s="1">
        <v>41.4</v>
      </c>
    </row>
    <row r="519" spans="1:155" x14ac:dyDescent="0.2">
      <c r="A519" s="1" t="s">
        <v>3604</v>
      </c>
      <c r="B519" s="1" t="s">
        <v>55</v>
      </c>
      <c r="C519" s="1" t="s">
        <v>236</v>
      </c>
      <c r="E519" s="1">
        <v>33</v>
      </c>
      <c r="F519" s="1" t="s">
        <v>3605</v>
      </c>
      <c r="H519" s="1" t="s">
        <v>3606</v>
      </c>
      <c r="I519" s="1" t="s">
        <v>7</v>
      </c>
      <c r="J519" s="1" t="s">
        <v>3607</v>
      </c>
      <c r="K519" s="1" t="s">
        <v>3608</v>
      </c>
      <c r="L519" s="1" t="s">
        <v>3607</v>
      </c>
      <c r="M519" s="1" t="s">
        <v>2890</v>
      </c>
      <c r="N519" s="1" t="s">
        <v>3609</v>
      </c>
      <c r="O519" s="1">
        <v>1</v>
      </c>
      <c r="P519" s="1" t="s">
        <v>3219</v>
      </c>
      <c r="Q519" s="1">
        <v>1999</v>
      </c>
      <c r="R519" s="1" t="s">
        <v>3220</v>
      </c>
      <c r="S519" s="1" t="s">
        <v>27</v>
      </c>
      <c r="T519" s="6">
        <v>1</v>
      </c>
      <c r="AH519" s="1">
        <v>3.39</v>
      </c>
      <c r="EY519" s="1">
        <v>112</v>
      </c>
    </row>
    <row r="520" spans="1:155" x14ac:dyDescent="0.2">
      <c r="A520" s="1" t="s">
        <v>3610</v>
      </c>
      <c r="B520" s="1" t="s">
        <v>55</v>
      </c>
      <c r="C520" s="1" t="s">
        <v>236</v>
      </c>
      <c r="E520" s="1">
        <v>33</v>
      </c>
      <c r="F520" s="1" t="s">
        <v>3611</v>
      </c>
      <c r="H520" s="1" t="s">
        <v>3612</v>
      </c>
      <c r="I520" s="1" t="s">
        <v>7</v>
      </c>
      <c r="J520" s="1" t="s">
        <v>3613</v>
      </c>
      <c r="K520" s="1" t="s">
        <v>3614</v>
      </c>
      <c r="L520" s="1" t="s">
        <v>3613</v>
      </c>
      <c r="M520" s="1" t="s">
        <v>2890</v>
      </c>
      <c r="N520" s="1" t="s">
        <v>3615</v>
      </c>
      <c r="O520" s="1">
        <v>1</v>
      </c>
      <c r="P520" s="1" t="s">
        <v>3219</v>
      </c>
      <c r="Q520" s="1">
        <v>1999</v>
      </c>
      <c r="R520" s="1" t="s">
        <v>3220</v>
      </c>
      <c r="S520" s="1" t="s">
        <v>27</v>
      </c>
      <c r="T520" s="6">
        <v>1</v>
      </c>
      <c r="AH520" s="1">
        <v>0.43</v>
      </c>
      <c r="EY520" s="1">
        <v>37.799999999999997</v>
      </c>
    </row>
    <row r="521" spans="1:155" x14ac:dyDescent="0.2">
      <c r="A521" s="1" t="s">
        <v>3616</v>
      </c>
      <c r="B521" s="1" t="s">
        <v>55</v>
      </c>
      <c r="C521" s="1" t="s">
        <v>236</v>
      </c>
      <c r="E521" s="1">
        <v>37</v>
      </c>
      <c r="F521" s="1" t="s">
        <v>3617</v>
      </c>
      <c r="H521" s="1" t="s">
        <v>3618</v>
      </c>
      <c r="I521" s="1" t="s">
        <v>7</v>
      </c>
      <c r="J521" s="1" t="s">
        <v>3619</v>
      </c>
      <c r="K521" s="1" t="s">
        <v>3620</v>
      </c>
      <c r="L521" s="1" t="s">
        <v>3619</v>
      </c>
      <c r="M521" s="1" t="s">
        <v>2890</v>
      </c>
      <c r="N521" s="1" t="s">
        <v>3621</v>
      </c>
      <c r="O521" s="1">
        <v>1</v>
      </c>
      <c r="P521" s="1" t="s">
        <v>3219</v>
      </c>
      <c r="Q521" s="1">
        <v>1999</v>
      </c>
      <c r="R521" s="1" t="s">
        <v>3220</v>
      </c>
      <c r="S521" s="1" t="s">
        <v>27</v>
      </c>
      <c r="T521" s="6">
        <v>1</v>
      </c>
      <c r="AH521" s="1">
        <v>0.61</v>
      </c>
      <c r="EY521" s="1">
        <v>58</v>
      </c>
    </row>
    <row r="522" spans="1:155" x14ac:dyDescent="0.2">
      <c r="A522" s="1" t="s">
        <v>3622</v>
      </c>
      <c r="B522" s="1" t="s">
        <v>55</v>
      </c>
      <c r="C522" s="1" t="s">
        <v>236</v>
      </c>
      <c r="E522" s="1">
        <v>37</v>
      </c>
      <c r="F522" s="1" t="s">
        <v>3623</v>
      </c>
      <c r="H522" s="1" t="s">
        <v>3624</v>
      </c>
      <c r="I522" s="1" t="s">
        <v>7</v>
      </c>
      <c r="J522" s="1" t="s">
        <v>3625</v>
      </c>
      <c r="K522" s="1" t="s">
        <v>3626</v>
      </c>
      <c r="L522" s="1" t="s">
        <v>3625</v>
      </c>
      <c r="M522" s="1" t="s">
        <v>2890</v>
      </c>
      <c r="N522" s="1" t="s">
        <v>3627</v>
      </c>
      <c r="O522" s="1">
        <v>1</v>
      </c>
      <c r="P522" s="1" t="s">
        <v>3219</v>
      </c>
      <c r="Q522" s="1">
        <v>1999</v>
      </c>
      <c r="R522" s="1" t="s">
        <v>3220</v>
      </c>
      <c r="S522" s="1" t="s">
        <v>27</v>
      </c>
      <c r="T522" s="6">
        <v>1</v>
      </c>
      <c r="AH522" s="1">
        <v>0.84</v>
      </c>
      <c r="EY522" s="1">
        <v>59.9</v>
      </c>
    </row>
    <row r="523" spans="1:155" x14ac:dyDescent="0.2">
      <c r="A523" s="1" t="s">
        <v>3628</v>
      </c>
      <c r="B523" s="1" t="s">
        <v>55</v>
      </c>
      <c r="C523" s="1" t="s">
        <v>236</v>
      </c>
      <c r="E523" s="1">
        <v>37</v>
      </c>
      <c r="F523" s="1" t="s">
        <v>3629</v>
      </c>
      <c r="H523" s="1" t="s">
        <v>3630</v>
      </c>
      <c r="I523" s="1" t="s">
        <v>7</v>
      </c>
      <c r="J523" s="1" t="s">
        <v>3631</v>
      </c>
      <c r="K523" s="1" t="s">
        <v>3632</v>
      </c>
      <c r="L523" s="1" t="s">
        <v>3631</v>
      </c>
      <c r="M523" s="1" t="s">
        <v>2890</v>
      </c>
      <c r="N523" s="1" t="s">
        <v>3633</v>
      </c>
      <c r="O523" s="1">
        <v>1</v>
      </c>
      <c r="P523" s="1" t="s">
        <v>3219</v>
      </c>
      <c r="Q523" s="1">
        <v>1999</v>
      </c>
      <c r="R523" s="1" t="s">
        <v>3220</v>
      </c>
      <c r="S523" s="1" t="s">
        <v>27</v>
      </c>
      <c r="T523" s="6">
        <v>1</v>
      </c>
      <c r="AH523" s="1">
        <v>0.53</v>
      </c>
      <c r="EY523" s="1">
        <v>34.6</v>
      </c>
    </row>
    <row r="524" spans="1:155" x14ac:dyDescent="0.2">
      <c r="A524" s="1" t="s">
        <v>3634</v>
      </c>
      <c r="B524" s="1" t="s">
        <v>55</v>
      </c>
      <c r="C524" s="1" t="s">
        <v>236</v>
      </c>
      <c r="E524" s="1">
        <v>37</v>
      </c>
      <c r="F524" s="1" t="s">
        <v>2023</v>
      </c>
      <c r="H524" s="1" t="s">
        <v>3635</v>
      </c>
      <c r="I524" s="1" t="s">
        <v>7</v>
      </c>
      <c r="J524" s="1" t="s">
        <v>3636</v>
      </c>
      <c r="K524" s="1" t="s">
        <v>2027</v>
      </c>
      <c r="L524" s="1" t="s">
        <v>2026</v>
      </c>
      <c r="M524" s="1" t="s">
        <v>2890</v>
      </c>
      <c r="N524" s="1" t="s">
        <v>3637</v>
      </c>
      <c r="O524" s="1">
        <v>1</v>
      </c>
      <c r="P524" s="1" t="s">
        <v>3219</v>
      </c>
      <c r="Q524" s="1">
        <v>1999</v>
      </c>
      <c r="R524" s="1" t="s">
        <v>3220</v>
      </c>
      <c r="S524" s="1" t="s">
        <v>27</v>
      </c>
      <c r="T524" s="6">
        <v>1</v>
      </c>
      <c r="AH524" s="1">
        <v>1.08</v>
      </c>
      <c r="EY524" s="1">
        <v>44</v>
      </c>
    </row>
    <row r="525" spans="1:155" x14ac:dyDescent="0.2">
      <c r="A525" s="1" t="s">
        <v>3638</v>
      </c>
      <c r="B525" s="1" t="s">
        <v>55</v>
      </c>
      <c r="C525" s="1" t="s">
        <v>236</v>
      </c>
      <c r="E525" s="1">
        <v>33</v>
      </c>
      <c r="F525" s="1" t="s">
        <v>3639</v>
      </c>
      <c r="H525" s="1" t="s">
        <v>3640</v>
      </c>
      <c r="I525" s="1" t="s">
        <v>7</v>
      </c>
      <c r="J525" s="1" t="s">
        <v>3641</v>
      </c>
      <c r="K525" s="1" t="s">
        <v>3642</v>
      </c>
      <c r="L525" s="1" t="s">
        <v>3643</v>
      </c>
      <c r="M525" s="1" t="s">
        <v>2890</v>
      </c>
      <c r="N525" s="1" t="s">
        <v>3644</v>
      </c>
      <c r="O525" s="1">
        <v>1</v>
      </c>
      <c r="P525" s="1" t="s">
        <v>3219</v>
      </c>
      <c r="Q525" s="1">
        <v>1999</v>
      </c>
      <c r="R525" s="1" t="s">
        <v>3220</v>
      </c>
      <c r="S525" s="1" t="s">
        <v>27</v>
      </c>
      <c r="T525" s="6">
        <v>1</v>
      </c>
      <c r="AH525" s="1">
        <v>1.22</v>
      </c>
      <c r="EY525" s="1">
        <v>57.6</v>
      </c>
    </row>
    <row r="526" spans="1:155" x14ac:dyDescent="0.2">
      <c r="A526" s="1" t="s">
        <v>3645</v>
      </c>
      <c r="B526" s="1" t="s">
        <v>55</v>
      </c>
      <c r="C526" s="1" t="s">
        <v>236</v>
      </c>
      <c r="E526" s="1">
        <v>33</v>
      </c>
      <c r="F526" s="1" t="s">
        <v>3646</v>
      </c>
      <c r="H526" s="1" t="s">
        <v>3647</v>
      </c>
      <c r="I526" s="1" t="s">
        <v>7</v>
      </c>
      <c r="J526" s="1" t="s">
        <v>3648</v>
      </c>
      <c r="K526" s="1" t="s">
        <v>3649</v>
      </c>
      <c r="L526" s="1" t="s">
        <v>3650</v>
      </c>
      <c r="M526" s="1" t="s">
        <v>481</v>
      </c>
      <c r="O526" s="1">
        <v>1</v>
      </c>
      <c r="P526" s="1" t="s">
        <v>3219</v>
      </c>
      <c r="Q526" s="1">
        <v>1999</v>
      </c>
      <c r="R526" s="1" t="s">
        <v>3220</v>
      </c>
      <c r="S526" s="1" t="s">
        <v>27</v>
      </c>
      <c r="T526" s="6">
        <v>1</v>
      </c>
      <c r="AH526" s="1">
        <v>1.94</v>
      </c>
      <c r="EY526" s="1">
        <v>33.700000000000003</v>
      </c>
    </row>
    <row r="527" spans="1:155" x14ac:dyDescent="0.2">
      <c r="A527" s="1" t="s">
        <v>3651</v>
      </c>
      <c r="B527" s="1" t="s">
        <v>55</v>
      </c>
      <c r="C527" s="1" t="s">
        <v>236</v>
      </c>
      <c r="E527" s="1">
        <v>33</v>
      </c>
      <c r="F527" s="1" t="s">
        <v>3646</v>
      </c>
      <c r="H527" s="1" t="s">
        <v>3647</v>
      </c>
      <c r="I527" s="1" t="s">
        <v>7</v>
      </c>
      <c r="J527" s="1" t="s">
        <v>3648</v>
      </c>
      <c r="K527" s="1" t="s">
        <v>3649</v>
      </c>
      <c r="L527" s="1" t="s">
        <v>3650</v>
      </c>
      <c r="O527" s="1">
        <v>1</v>
      </c>
      <c r="P527" s="1" t="s">
        <v>3219</v>
      </c>
      <c r="Q527" s="1">
        <v>1999</v>
      </c>
      <c r="R527" s="1" t="s">
        <v>3220</v>
      </c>
      <c r="S527" s="1" t="s">
        <v>27</v>
      </c>
      <c r="T527" s="6">
        <v>1</v>
      </c>
      <c r="AH527" s="1">
        <v>0.96</v>
      </c>
      <c r="EY527" s="1">
        <v>24.6</v>
      </c>
    </row>
    <row r="528" spans="1:155" x14ac:dyDescent="0.2">
      <c r="A528" s="1" t="s">
        <v>3652</v>
      </c>
      <c r="B528" s="1" t="s">
        <v>55</v>
      </c>
      <c r="C528" s="1" t="s">
        <v>236</v>
      </c>
      <c r="E528" s="1">
        <v>38</v>
      </c>
      <c r="F528" s="1" t="s">
        <v>3653</v>
      </c>
      <c r="H528" s="1" t="s">
        <v>3654</v>
      </c>
      <c r="I528" s="1" t="s">
        <v>7</v>
      </c>
      <c r="J528" s="1" t="s">
        <v>3655</v>
      </c>
      <c r="K528" s="1" t="s">
        <v>3656</v>
      </c>
      <c r="L528" s="1" t="s">
        <v>3657</v>
      </c>
      <c r="M528" s="1" t="s">
        <v>2890</v>
      </c>
      <c r="N528" s="1" t="s">
        <v>3658</v>
      </c>
      <c r="O528" s="1">
        <v>1</v>
      </c>
      <c r="P528" s="1" t="s">
        <v>3219</v>
      </c>
      <c r="Q528" s="1">
        <v>1999</v>
      </c>
      <c r="R528" s="1" t="s">
        <v>3220</v>
      </c>
      <c r="S528" s="1" t="s">
        <v>27</v>
      </c>
      <c r="T528" s="6">
        <v>1</v>
      </c>
      <c r="AH528" s="1">
        <v>0.78</v>
      </c>
      <c r="EY528" s="1">
        <v>72.7</v>
      </c>
    </row>
    <row r="529" spans="1:155" x14ac:dyDescent="0.2">
      <c r="A529" s="1" t="s">
        <v>3659</v>
      </c>
      <c r="B529" s="1" t="s">
        <v>55</v>
      </c>
      <c r="C529" s="1" t="s">
        <v>236</v>
      </c>
      <c r="E529" s="1">
        <v>33</v>
      </c>
      <c r="F529" s="1" t="s">
        <v>3660</v>
      </c>
      <c r="H529" s="1" t="s">
        <v>3661</v>
      </c>
      <c r="I529" s="1" t="s">
        <v>7</v>
      </c>
      <c r="J529" s="1" t="s">
        <v>3662</v>
      </c>
      <c r="K529" s="1" t="s">
        <v>3663</v>
      </c>
      <c r="L529" s="1" t="s">
        <v>3664</v>
      </c>
      <c r="M529" s="1" t="s">
        <v>2890</v>
      </c>
      <c r="N529" s="1" t="s">
        <v>3665</v>
      </c>
      <c r="O529" s="1">
        <v>1</v>
      </c>
      <c r="P529" s="1" t="s">
        <v>3219</v>
      </c>
      <c r="Q529" s="1">
        <v>1999</v>
      </c>
      <c r="R529" s="1" t="s">
        <v>3220</v>
      </c>
      <c r="S529" s="1" t="s">
        <v>27</v>
      </c>
      <c r="T529" s="6">
        <v>1</v>
      </c>
      <c r="AH529" s="1">
        <v>0.72</v>
      </c>
      <c r="EY529" s="1">
        <v>22.2</v>
      </c>
    </row>
    <row r="530" spans="1:155" x14ac:dyDescent="0.2">
      <c r="A530" s="1" t="s">
        <v>3666</v>
      </c>
      <c r="B530" s="1" t="s">
        <v>55</v>
      </c>
      <c r="C530" s="1" t="s">
        <v>236</v>
      </c>
      <c r="E530" s="1">
        <v>34</v>
      </c>
      <c r="F530" s="1" t="s">
        <v>3667</v>
      </c>
      <c r="H530" s="1" t="s">
        <v>3668</v>
      </c>
      <c r="I530" s="1" t="s">
        <v>7</v>
      </c>
      <c r="J530" s="1" t="s">
        <v>3669</v>
      </c>
      <c r="K530" s="1" t="s">
        <v>3670</v>
      </c>
      <c r="L530" s="1" t="s">
        <v>3669</v>
      </c>
      <c r="M530" s="1" t="s">
        <v>2890</v>
      </c>
      <c r="N530" s="1" t="s">
        <v>3671</v>
      </c>
      <c r="O530" s="1">
        <v>1</v>
      </c>
      <c r="P530" s="1" t="s">
        <v>3219</v>
      </c>
      <c r="Q530" s="1">
        <v>1999</v>
      </c>
      <c r="R530" s="1" t="s">
        <v>3220</v>
      </c>
      <c r="S530" s="1" t="s">
        <v>27</v>
      </c>
      <c r="T530" s="6">
        <v>1</v>
      </c>
      <c r="AH530" s="1">
        <v>0.88</v>
      </c>
      <c r="EY530" s="1">
        <v>68</v>
      </c>
    </row>
    <row r="531" spans="1:155" x14ac:dyDescent="0.2">
      <c r="A531" s="1" t="s">
        <v>3672</v>
      </c>
      <c r="B531" s="1" t="s">
        <v>55</v>
      </c>
      <c r="C531" s="1" t="s">
        <v>236</v>
      </c>
      <c r="E531" s="1">
        <v>34</v>
      </c>
      <c r="F531" s="1" t="s">
        <v>3673</v>
      </c>
      <c r="H531" s="1" t="s">
        <v>3674</v>
      </c>
      <c r="I531" s="1" t="s">
        <v>7</v>
      </c>
      <c r="J531" s="1" t="s">
        <v>3675</v>
      </c>
      <c r="K531" s="1" t="s">
        <v>3676</v>
      </c>
      <c r="L531" s="1" t="s">
        <v>3677</v>
      </c>
      <c r="M531" s="1" t="s">
        <v>2890</v>
      </c>
      <c r="N531" s="1" t="s">
        <v>3678</v>
      </c>
      <c r="O531" s="1">
        <v>1</v>
      </c>
      <c r="P531" s="1" t="s">
        <v>3219</v>
      </c>
      <c r="Q531" s="1">
        <v>1999</v>
      </c>
      <c r="R531" s="1" t="s">
        <v>3220</v>
      </c>
      <c r="S531" s="1" t="s">
        <v>27</v>
      </c>
      <c r="T531" s="6">
        <v>1</v>
      </c>
      <c r="AH531" s="1">
        <v>0.87</v>
      </c>
      <c r="EY531" s="1">
        <v>37</v>
      </c>
    </row>
    <row r="532" spans="1:155" x14ac:dyDescent="0.2">
      <c r="A532" s="1" t="s">
        <v>3679</v>
      </c>
      <c r="B532" s="1" t="s">
        <v>1912</v>
      </c>
      <c r="C532" s="1" t="s">
        <v>236</v>
      </c>
      <c r="E532" s="1">
        <v>45</v>
      </c>
      <c r="F532" s="1" t="s">
        <v>3680</v>
      </c>
      <c r="H532" s="1" t="s">
        <v>3681</v>
      </c>
      <c r="I532" s="1" t="s">
        <v>7</v>
      </c>
      <c r="J532" s="1" t="s">
        <v>3682</v>
      </c>
      <c r="K532" s="1" t="s">
        <v>3683</v>
      </c>
      <c r="L532" s="1" t="s">
        <v>3682</v>
      </c>
      <c r="M532" s="1" t="s">
        <v>817</v>
      </c>
      <c r="N532" s="1" t="s">
        <v>3684</v>
      </c>
      <c r="O532" s="1">
        <v>1</v>
      </c>
      <c r="P532" s="1" t="s">
        <v>3219</v>
      </c>
      <c r="Q532" s="1">
        <v>1999</v>
      </c>
      <c r="R532" s="1" t="s">
        <v>3220</v>
      </c>
      <c r="S532" s="1" t="s">
        <v>27</v>
      </c>
      <c r="T532" s="6">
        <v>1</v>
      </c>
      <c r="AH532" s="1">
        <v>1.35</v>
      </c>
      <c r="EY532" s="1">
        <v>129</v>
      </c>
    </row>
    <row r="533" spans="1:155" x14ac:dyDescent="0.2">
      <c r="A533" s="1" t="s">
        <v>3685</v>
      </c>
      <c r="B533" s="1" t="s">
        <v>1912</v>
      </c>
      <c r="C533" s="1" t="s">
        <v>236</v>
      </c>
      <c r="E533" s="1">
        <v>45</v>
      </c>
      <c r="F533" s="1" t="s">
        <v>3680</v>
      </c>
      <c r="H533" s="1" t="s">
        <v>3681</v>
      </c>
      <c r="I533" s="1" t="s">
        <v>7</v>
      </c>
      <c r="J533" s="1" t="s">
        <v>3682</v>
      </c>
      <c r="K533" s="1" t="s">
        <v>3683</v>
      </c>
      <c r="L533" s="1" t="s">
        <v>3682</v>
      </c>
      <c r="M533" s="1" t="s">
        <v>817</v>
      </c>
      <c r="N533" s="1" t="s">
        <v>3686</v>
      </c>
      <c r="O533" s="1">
        <v>1</v>
      </c>
      <c r="P533" s="1" t="s">
        <v>3219</v>
      </c>
      <c r="Q533" s="1">
        <v>1999</v>
      </c>
      <c r="R533" s="1" t="s">
        <v>3220</v>
      </c>
      <c r="S533" s="1" t="s">
        <v>27</v>
      </c>
      <c r="T533" s="6">
        <v>1</v>
      </c>
      <c r="AH533" s="1">
        <v>1.34</v>
      </c>
      <c r="EY533" s="1">
        <v>163</v>
      </c>
    </row>
    <row r="534" spans="1:155" x14ac:dyDescent="0.2">
      <c r="A534" s="1" t="s">
        <v>3687</v>
      </c>
      <c r="B534" s="1" t="s">
        <v>1912</v>
      </c>
      <c r="C534" s="1" t="s">
        <v>236</v>
      </c>
      <c r="E534" s="1">
        <v>45</v>
      </c>
      <c r="F534" s="1" t="s">
        <v>3688</v>
      </c>
      <c r="H534" s="1" t="s">
        <v>3689</v>
      </c>
      <c r="I534" s="1" t="s">
        <v>7</v>
      </c>
      <c r="J534" s="1" t="s">
        <v>3690</v>
      </c>
      <c r="K534" s="1" t="s">
        <v>3691</v>
      </c>
      <c r="L534" s="1" t="s">
        <v>3690</v>
      </c>
      <c r="M534" s="1" t="s">
        <v>817</v>
      </c>
      <c r="N534" s="1" t="s">
        <v>3692</v>
      </c>
      <c r="O534" s="1">
        <v>1</v>
      </c>
      <c r="P534" s="1" t="s">
        <v>3219</v>
      </c>
      <c r="Q534" s="1">
        <v>1999</v>
      </c>
      <c r="R534" s="1" t="s">
        <v>3220</v>
      </c>
      <c r="S534" s="1" t="s">
        <v>27</v>
      </c>
      <c r="T534" s="6">
        <v>1</v>
      </c>
      <c r="AH534" s="1">
        <v>0.95</v>
      </c>
      <c r="EY534" s="1">
        <v>144</v>
      </c>
    </row>
    <row r="535" spans="1:155" x14ac:dyDescent="0.2">
      <c r="A535" s="1" t="s">
        <v>3693</v>
      </c>
      <c r="B535" s="1" t="s">
        <v>1912</v>
      </c>
      <c r="C535" s="1" t="s">
        <v>236</v>
      </c>
      <c r="E535" s="1">
        <v>45</v>
      </c>
      <c r="F535" s="1" t="s">
        <v>3688</v>
      </c>
      <c r="H535" s="1" t="s">
        <v>3689</v>
      </c>
      <c r="I535" s="1" t="s">
        <v>7</v>
      </c>
      <c r="J535" s="1" t="s">
        <v>3690</v>
      </c>
      <c r="K535" s="1" t="s">
        <v>3691</v>
      </c>
      <c r="L535" s="1" t="s">
        <v>3690</v>
      </c>
      <c r="M535" s="1" t="s">
        <v>817</v>
      </c>
      <c r="N535" s="1" t="s">
        <v>3694</v>
      </c>
      <c r="O535" s="1">
        <v>1</v>
      </c>
      <c r="P535" s="1" t="s">
        <v>3219</v>
      </c>
      <c r="Q535" s="1">
        <v>1999</v>
      </c>
      <c r="R535" s="1" t="s">
        <v>3220</v>
      </c>
      <c r="S535" s="1" t="s">
        <v>27</v>
      </c>
      <c r="T535" s="6">
        <v>1</v>
      </c>
      <c r="AH535" s="1">
        <v>1.22</v>
      </c>
      <c r="EY535" s="1">
        <v>123</v>
      </c>
    </row>
    <row r="536" spans="1:155" x14ac:dyDescent="0.2">
      <c r="A536" s="1" t="s">
        <v>3695</v>
      </c>
      <c r="B536" s="1" t="s">
        <v>1912</v>
      </c>
      <c r="C536" s="1" t="s">
        <v>236</v>
      </c>
      <c r="E536" s="1">
        <v>45</v>
      </c>
      <c r="F536" s="1" t="s">
        <v>3696</v>
      </c>
      <c r="H536" s="1" t="s">
        <v>3697</v>
      </c>
      <c r="I536" s="1" t="s">
        <v>7</v>
      </c>
      <c r="J536" s="1" t="s">
        <v>3698</v>
      </c>
      <c r="K536" s="1" t="s">
        <v>3699</v>
      </c>
      <c r="L536" s="1" t="s">
        <v>3698</v>
      </c>
      <c r="M536" s="1" t="s">
        <v>817</v>
      </c>
      <c r="N536" s="1" t="s">
        <v>3700</v>
      </c>
      <c r="O536" s="1">
        <v>1</v>
      </c>
      <c r="P536" s="1" t="s">
        <v>3219</v>
      </c>
      <c r="Q536" s="1">
        <v>1999</v>
      </c>
      <c r="R536" s="1" t="s">
        <v>3220</v>
      </c>
      <c r="S536" s="1" t="s">
        <v>27</v>
      </c>
      <c r="T536" s="6">
        <v>1</v>
      </c>
      <c r="AH536" s="1">
        <v>1.02</v>
      </c>
      <c r="EY536" s="1">
        <v>118</v>
      </c>
    </row>
    <row r="537" spans="1:155" x14ac:dyDescent="0.2">
      <c r="A537" s="1" t="s">
        <v>3701</v>
      </c>
      <c r="B537" s="1" t="s">
        <v>1912</v>
      </c>
      <c r="C537" s="1" t="s">
        <v>236</v>
      </c>
      <c r="E537" s="1">
        <v>45</v>
      </c>
      <c r="F537" s="1" t="s">
        <v>3702</v>
      </c>
      <c r="H537" s="1" t="s">
        <v>3703</v>
      </c>
      <c r="I537" s="1" t="s">
        <v>7</v>
      </c>
      <c r="J537" s="1" t="s">
        <v>3704</v>
      </c>
      <c r="K537" s="1" t="s">
        <v>3705</v>
      </c>
      <c r="L537" s="1" t="s">
        <v>3704</v>
      </c>
      <c r="M537" s="1" t="s">
        <v>817</v>
      </c>
      <c r="N537" s="1" t="s">
        <v>3706</v>
      </c>
      <c r="O537" s="1">
        <v>1</v>
      </c>
      <c r="P537" s="1" t="s">
        <v>3219</v>
      </c>
      <c r="Q537" s="1">
        <v>1999</v>
      </c>
      <c r="R537" s="1" t="s">
        <v>3220</v>
      </c>
      <c r="S537" s="1" t="s">
        <v>27</v>
      </c>
      <c r="T537" s="6">
        <v>1</v>
      </c>
      <c r="AH537" s="1">
        <v>1.34</v>
      </c>
      <c r="EY537" s="1">
        <v>120</v>
      </c>
    </row>
    <row r="538" spans="1:155" x14ac:dyDescent="0.2">
      <c r="A538" s="1" t="s">
        <v>3707</v>
      </c>
      <c r="B538" s="1" t="s">
        <v>1912</v>
      </c>
      <c r="C538" s="1" t="s">
        <v>236</v>
      </c>
      <c r="E538" s="1">
        <v>45</v>
      </c>
      <c r="F538" s="1" t="s">
        <v>3708</v>
      </c>
      <c r="H538" s="1" t="s">
        <v>3709</v>
      </c>
      <c r="I538" s="1" t="s">
        <v>7</v>
      </c>
      <c r="J538" s="1" t="s">
        <v>3710</v>
      </c>
      <c r="K538" s="1" t="s">
        <v>3711</v>
      </c>
      <c r="L538" s="1" t="s">
        <v>3712</v>
      </c>
      <c r="M538" s="1" t="s">
        <v>2890</v>
      </c>
      <c r="N538" s="1" t="s">
        <v>3713</v>
      </c>
      <c r="O538" s="1">
        <v>1</v>
      </c>
      <c r="P538" s="1" t="s">
        <v>3219</v>
      </c>
      <c r="Q538" s="1">
        <v>1999</v>
      </c>
      <c r="R538" s="1" t="s">
        <v>3220</v>
      </c>
      <c r="S538" s="1" t="s">
        <v>27</v>
      </c>
      <c r="T538" s="6">
        <v>1</v>
      </c>
      <c r="AH538" s="1">
        <v>0.98</v>
      </c>
      <c r="EY538" s="1">
        <v>143</v>
      </c>
    </row>
    <row r="539" spans="1:155" x14ac:dyDescent="0.2">
      <c r="A539" s="1" t="s">
        <v>3714</v>
      </c>
      <c r="B539" s="1" t="s">
        <v>1912</v>
      </c>
      <c r="C539" s="1" t="s">
        <v>236</v>
      </c>
      <c r="E539" s="1">
        <v>42</v>
      </c>
      <c r="F539" s="1" t="s">
        <v>3715</v>
      </c>
      <c r="H539" s="1" t="s">
        <v>3716</v>
      </c>
      <c r="I539" s="1" t="s">
        <v>7</v>
      </c>
      <c r="J539" s="1" t="s">
        <v>3717</v>
      </c>
      <c r="K539" s="1" t="s">
        <v>3718</v>
      </c>
      <c r="L539" s="1" t="s">
        <v>3719</v>
      </c>
      <c r="M539" s="1" t="s">
        <v>749</v>
      </c>
      <c r="N539" s="1" t="s">
        <v>3720</v>
      </c>
      <c r="O539" s="1">
        <v>1</v>
      </c>
      <c r="P539" s="1" t="s">
        <v>3219</v>
      </c>
      <c r="Q539" s="1">
        <v>1999</v>
      </c>
      <c r="R539" s="1" t="s">
        <v>3220</v>
      </c>
      <c r="S539" s="1" t="s">
        <v>27</v>
      </c>
      <c r="T539" s="6">
        <v>1</v>
      </c>
      <c r="AH539" s="1">
        <v>0.75</v>
      </c>
      <c r="EY539" s="1">
        <v>54.8</v>
      </c>
    </row>
    <row r="540" spans="1:155" x14ac:dyDescent="0.2">
      <c r="A540" s="1" t="s">
        <v>3721</v>
      </c>
      <c r="B540" s="1" t="s">
        <v>1912</v>
      </c>
      <c r="C540" s="1" t="s">
        <v>236</v>
      </c>
      <c r="E540" s="1">
        <v>42</v>
      </c>
      <c r="F540" s="1" t="s">
        <v>3715</v>
      </c>
      <c r="H540" s="1" t="s">
        <v>3722</v>
      </c>
      <c r="I540" s="1" t="s">
        <v>7</v>
      </c>
      <c r="J540" s="1" t="s">
        <v>3719</v>
      </c>
      <c r="K540" s="1" t="s">
        <v>3718</v>
      </c>
      <c r="L540" s="1" t="s">
        <v>3719</v>
      </c>
      <c r="O540" s="1">
        <v>1</v>
      </c>
      <c r="P540" s="1" t="s">
        <v>3219</v>
      </c>
      <c r="Q540" s="1">
        <v>1999</v>
      </c>
      <c r="R540" s="1" t="s">
        <v>3220</v>
      </c>
      <c r="S540" s="1" t="s">
        <v>27</v>
      </c>
      <c r="T540" s="6">
        <v>1</v>
      </c>
      <c r="AH540" s="1">
        <v>0.64</v>
      </c>
      <c r="EY540" s="1">
        <v>51.5</v>
      </c>
    </row>
    <row r="541" spans="1:155" x14ac:dyDescent="0.2">
      <c r="A541" s="1" t="s">
        <v>3723</v>
      </c>
      <c r="B541" s="1" t="s">
        <v>1912</v>
      </c>
      <c r="C541" s="1" t="s">
        <v>236</v>
      </c>
      <c r="E541" s="1">
        <v>42</v>
      </c>
      <c r="F541" s="1" t="s">
        <v>3724</v>
      </c>
      <c r="H541" s="1" t="s">
        <v>3725</v>
      </c>
      <c r="I541" s="1" t="s">
        <v>7</v>
      </c>
      <c r="J541" s="1" t="s">
        <v>3726</v>
      </c>
      <c r="K541" s="1" t="s">
        <v>3727</v>
      </c>
      <c r="L541" s="1" t="s">
        <v>3728</v>
      </c>
      <c r="M541" s="1" t="s">
        <v>749</v>
      </c>
      <c r="N541" s="1" t="s">
        <v>3729</v>
      </c>
      <c r="O541" s="1">
        <v>1</v>
      </c>
      <c r="P541" s="1" t="s">
        <v>3219</v>
      </c>
      <c r="Q541" s="1">
        <v>1999</v>
      </c>
      <c r="R541" s="1" t="s">
        <v>3220</v>
      </c>
      <c r="S541" s="1" t="s">
        <v>27</v>
      </c>
      <c r="T541" s="6">
        <v>1</v>
      </c>
      <c r="AH541" s="1">
        <v>0.57999999999999996</v>
      </c>
      <c r="EY541" s="1">
        <v>52.4</v>
      </c>
    </row>
    <row r="542" spans="1:155" x14ac:dyDescent="0.2">
      <c r="A542" s="1" t="s">
        <v>3730</v>
      </c>
      <c r="B542" s="1" t="s">
        <v>1912</v>
      </c>
      <c r="C542" s="1" t="s">
        <v>236</v>
      </c>
      <c r="E542" s="1">
        <v>42</v>
      </c>
      <c r="F542" s="1" t="s">
        <v>3731</v>
      </c>
      <c r="H542" s="1" t="s">
        <v>3732</v>
      </c>
      <c r="I542" s="1" t="s">
        <v>7</v>
      </c>
      <c r="J542" s="1" t="s">
        <v>3733</v>
      </c>
      <c r="K542" s="1" t="s">
        <v>3734</v>
      </c>
      <c r="L542" s="1" t="s">
        <v>3735</v>
      </c>
      <c r="M542" s="1" t="s">
        <v>749</v>
      </c>
      <c r="N542" s="1" t="s">
        <v>3736</v>
      </c>
      <c r="O542" s="1">
        <v>1</v>
      </c>
      <c r="P542" s="1" t="s">
        <v>3219</v>
      </c>
      <c r="Q542" s="1">
        <v>1999</v>
      </c>
      <c r="R542" s="1" t="s">
        <v>3220</v>
      </c>
      <c r="S542" s="1" t="s">
        <v>27</v>
      </c>
      <c r="T542" s="6">
        <v>1</v>
      </c>
      <c r="AH542" s="1">
        <v>0.7</v>
      </c>
      <c r="EY542" s="1">
        <v>56.5</v>
      </c>
    </row>
    <row r="543" spans="1:155" x14ac:dyDescent="0.2">
      <c r="A543" s="1" t="s">
        <v>3737</v>
      </c>
      <c r="B543" s="1" t="s">
        <v>1912</v>
      </c>
      <c r="C543" s="1" t="s">
        <v>236</v>
      </c>
      <c r="E543" s="1">
        <v>42</v>
      </c>
      <c r="F543" s="1" t="s">
        <v>3731</v>
      </c>
      <c r="H543" s="1" t="s">
        <v>3732</v>
      </c>
      <c r="I543" s="1" t="s">
        <v>7</v>
      </c>
      <c r="J543" s="1" t="s">
        <v>3733</v>
      </c>
      <c r="K543" s="1" t="s">
        <v>3734</v>
      </c>
      <c r="L543" s="1" t="s">
        <v>3735</v>
      </c>
      <c r="M543" s="1" t="s">
        <v>2890</v>
      </c>
      <c r="N543" s="1" t="s">
        <v>3738</v>
      </c>
      <c r="O543" s="1">
        <v>1</v>
      </c>
      <c r="P543" s="1" t="s">
        <v>3219</v>
      </c>
      <c r="Q543" s="1">
        <v>1999</v>
      </c>
      <c r="R543" s="1" t="s">
        <v>3220</v>
      </c>
      <c r="S543" s="1" t="s">
        <v>27</v>
      </c>
      <c r="T543" s="6">
        <v>1</v>
      </c>
      <c r="AH543" s="1">
        <v>0.76</v>
      </c>
      <c r="EY543" s="1">
        <v>54.2</v>
      </c>
    </row>
    <row r="544" spans="1:155" x14ac:dyDescent="0.2">
      <c r="A544" s="1" t="s">
        <v>3739</v>
      </c>
      <c r="B544" s="1" t="s">
        <v>1912</v>
      </c>
      <c r="C544" s="1" t="s">
        <v>236</v>
      </c>
      <c r="E544" s="1">
        <v>42</v>
      </c>
      <c r="F544" s="1" t="s">
        <v>3740</v>
      </c>
      <c r="H544" s="1" t="s">
        <v>3741</v>
      </c>
      <c r="I544" s="1" t="s">
        <v>7</v>
      </c>
      <c r="J544" s="1" t="s">
        <v>3742</v>
      </c>
      <c r="K544" s="1" t="s">
        <v>3743</v>
      </c>
      <c r="L544" s="1" t="s">
        <v>3742</v>
      </c>
      <c r="M544" s="1" t="s">
        <v>749</v>
      </c>
      <c r="N544" s="1" t="s">
        <v>3744</v>
      </c>
      <c r="O544" s="1">
        <v>1</v>
      </c>
      <c r="P544" s="1" t="s">
        <v>3219</v>
      </c>
      <c r="Q544" s="1">
        <v>1999</v>
      </c>
      <c r="R544" s="1" t="s">
        <v>3220</v>
      </c>
      <c r="S544" s="1" t="s">
        <v>27</v>
      </c>
      <c r="T544" s="6">
        <v>1</v>
      </c>
      <c r="AH544" s="1">
        <v>0.68</v>
      </c>
      <c r="EY544" s="1">
        <v>66.8</v>
      </c>
    </row>
    <row r="545" spans="1:155" x14ac:dyDescent="0.2">
      <c r="A545" s="1" t="s">
        <v>3745</v>
      </c>
      <c r="B545" s="1" t="s">
        <v>57</v>
      </c>
      <c r="C545" s="1" t="s">
        <v>236</v>
      </c>
      <c r="E545" s="1">
        <v>57</v>
      </c>
      <c r="F545" s="1" t="s">
        <v>3746</v>
      </c>
      <c r="H545" s="1" t="s">
        <v>3747</v>
      </c>
      <c r="I545" s="1" t="s">
        <v>7</v>
      </c>
      <c r="J545" s="1" t="s">
        <v>3748</v>
      </c>
      <c r="K545" s="1" t="s">
        <v>3749</v>
      </c>
      <c r="L545" s="1" t="s">
        <v>3750</v>
      </c>
      <c r="O545" s="1">
        <v>1</v>
      </c>
      <c r="P545" s="1" t="s">
        <v>3219</v>
      </c>
      <c r="Q545" s="1">
        <v>1999</v>
      </c>
      <c r="R545" s="1" t="s">
        <v>3220</v>
      </c>
      <c r="S545" s="1" t="s">
        <v>27</v>
      </c>
      <c r="T545" s="6">
        <v>1</v>
      </c>
      <c r="AH545" s="1">
        <v>1.3</v>
      </c>
      <c r="EY545" s="1">
        <v>162</v>
      </c>
    </row>
    <row r="546" spans="1:155" x14ac:dyDescent="0.2">
      <c r="A546" s="1" t="s">
        <v>3751</v>
      </c>
      <c r="B546" s="1" t="s">
        <v>57</v>
      </c>
      <c r="C546" s="1" t="s">
        <v>236</v>
      </c>
      <c r="E546" s="1">
        <v>57</v>
      </c>
      <c r="F546" s="1" t="s">
        <v>3746</v>
      </c>
      <c r="H546" s="1" t="s">
        <v>3747</v>
      </c>
      <c r="I546" s="1" t="s">
        <v>7</v>
      </c>
      <c r="J546" s="1" t="s">
        <v>3750</v>
      </c>
      <c r="K546" s="1" t="s">
        <v>3749</v>
      </c>
      <c r="L546" s="1" t="s">
        <v>3750</v>
      </c>
      <c r="M546" s="1" t="s">
        <v>2890</v>
      </c>
      <c r="N546" s="1" t="s">
        <v>3752</v>
      </c>
      <c r="O546" s="1">
        <v>1</v>
      </c>
      <c r="P546" s="1" t="s">
        <v>3219</v>
      </c>
      <c r="Q546" s="1">
        <v>1999</v>
      </c>
      <c r="R546" s="1" t="s">
        <v>3220</v>
      </c>
      <c r="S546" s="1" t="s">
        <v>27</v>
      </c>
      <c r="T546" s="6">
        <v>1</v>
      </c>
      <c r="AH546" s="1">
        <v>0.92</v>
      </c>
      <c r="EY546" s="1">
        <v>130</v>
      </c>
    </row>
    <row r="547" spans="1:155" x14ac:dyDescent="0.2">
      <c r="A547" s="1" t="s">
        <v>3753</v>
      </c>
      <c r="B547" s="1" t="s">
        <v>57</v>
      </c>
      <c r="C547" s="1" t="s">
        <v>236</v>
      </c>
      <c r="E547" s="1">
        <v>57</v>
      </c>
      <c r="F547" s="1" t="s">
        <v>3754</v>
      </c>
      <c r="H547" s="1" t="s">
        <v>3755</v>
      </c>
      <c r="I547" s="1" t="s">
        <v>7</v>
      </c>
      <c r="J547" s="1" t="s">
        <v>3756</v>
      </c>
      <c r="K547" s="1" t="s">
        <v>3757</v>
      </c>
      <c r="L547" s="1" t="s">
        <v>3756</v>
      </c>
      <c r="M547" s="1" t="s">
        <v>2890</v>
      </c>
      <c r="N547" s="1" t="s">
        <v>3758</v>
      </c>
      <c r="O547" s="1">
        <v>1</v>
      </c>
      <c r="P547" s="1" t="s">
        <v>3219</v>
      </c>
      <c r="Q547" s="1">
        <v>1999</v>
      </c>
      <c r="R547" s="1" t="s">
        <v>3220</v>
      </c>
      <c r="S547" s="1" t="s">
        <v>27</v>
      </c>
      <c r="T547" s="6">
        <v>1</v>
      </c>
      <c r="AH547" s="1">
        <v>1.4</v>
      </c>
      <c r="EY547" s="1">
        <v>198</v>
      </c>
    </row>
    <row r="548" spans="1:155" x14ac:dyDescent="0.2">
      <c r="A548" s="1" t="s">
        <v>3759</v>
      </c>
      <c r="B548" s="1" t="s">
        <v>57</v>
      </c>
      <c r="C548" s="1" t="s">
        <v>236</v>
      </c>
      <c r="E548" s="1">
        <v>57</v>
      </c>
      <c r="F548" s="1" t="s">
        <v>3754</v>
      </c>
      <c r="H548" s="1" t="s">
        <v>3755</v>
      </c>
      <c r="I548" s="1" t="s">
        <v>7</v>
      </c>
      <c r="J548" s="1" t="s">
        <v>3756</v>
      </c>
      <c r="K548" s="1" t="s">
        <v>3757</v>
      </c>
      <c r="L548" s="1" t="s">
        <v>3756</v>
      </c>
      <c r="O548" s="1">
        <v>1</v>
      </c>
      <c r="P548" s="1" t="s">
        <v>3219</v>
      </c>
      <c r="Q548" s="1">
        <v>1999</v>
      </c>
      <c r="R548" s="1" t="s">
        <v>3220</v>
      </c>
      <c r="S548" s="1" t="s">
        <v>27</v>
      </c>
      <c r="T548" s="6">
        <v>1</v>
      </c>
      <c r="AH548" s="1">
        <v>1.33</v>
      </c>
      <c r="EY548" s="1">
        <v>188</v>
      </c>
    </row>
    <row r="549" spans="1:155" x14ac:dyDescent="0.2">
      <c r="A549" s="1" t="s">
        <v>3760</v>
      </c>
      <c r="B549" s="1" t="s">
        <v>57</v>
      </c>
      <c r="C549" s="1" t="s">
        <v>3761</v>
      </c>
      <c r="E549" s="1">
        <v>52</v>
      </c>
      <c r="F549" s="1" t="s">
        <v>3762</v>
      </c>
      <c r="H549" s="1" t="s">
        <v>3763</v>
      </c>
      <c r="I549" s="1" t="s">
        <v>7</v>
      </c>
      <c r="J549" s="1" t="s">
        <v>3764</v>
      </c>
      <c r="K549" s="1" t="s">
        <v>3765</v>
      </c>
      <c r="L549" s="1" t="s">
        <v>3766</v>
      </c>
      <c r="Q549" s="1">
        <v>1976</v>
      </c>
      <c r="R549" s="1" t="s">
        <v>3767</v>
      </c>
      <c r="S549" s="1" t="s">
        <v>27</v>
      </c>
      <c r="T549" s="6">
        <v>1</v>
      </c>
      <c r="Z549" s="1">
        <v>76.900000000000006</v>
      </c>
      <c r="AE549" s="1">
        <v>17.100000000000001</v>
      </c>
      <c r="AJ549" s="1">
        <v>0.7</v>
      </c>
      <c r="AV549" s="1">
        <v>1.7</v>
      </c>
    </row>
    <row r="550" spans="1:155" x14ac:dyDescent="0.2">
      <c r="A550" s="1" t="s">
        <v>3768</v>
      </c>
      <c r="B550" s="1" t="s">
        <v>57</v>
      </c>
      <c r="C550" s="1" t="s">
        <v>3761</v>
      </c>
      <c r="E550" s="1">
        <v>56</v>
      </c>
      <c r="F550" s="1" t="s">
        <v>3769</v>
      </c>
      <c r="H550" s="1" t="s">
        <v>3770</v>
      </c>
      <c r="I550" s="1" t="s">
        <v>7</v>
      </c>
      <c r="J550" s="1" t="s">
        <v>3771</v>
      </c>
      <c r="K550" s="1" t="s">
        <v>3772</v>
      </c>
      <c r="L550" s="1" t="s">
        <v>3771</v>
      </c>
      <c r="Q550" s="1">
        <v>1976</v>
      </c>
      <c r="R550" s="1" t="s">
        <v>3767</v>
      </c>
      <c r="S550" s="1" t="s">
        <v>27</v>
      </c>
      <c r="T550" s="6">
        <v>1</v>
      </c>
      <c r="Z550" s="1">
        <v>80</v>
      </c>
      <c r="AE550" s="1">
        <v>13</v>
      </c>
      <c r="AJ550" s="1">
        <v>1.23</v>
      </c>
      <c r="AV550" s="1">
        <v>1.7</v>
      </c>
    </row>
    <row r="551" spans="1:155" x14ac:dyDescent="0.2">
      <c r="A551" s="1" t="s">
        <v>3773</v>
      </c>
      <c r="B551" s="1" t="s">
        <v>57</v>
      </c>
      <c r="C551" s="1" t="s">
        <v>3761</v>
      </c>
      <c r="E551" s="1">
        <v>56</v>
      </c>
      <c r="F551" s="1" t="s">
        <v>3774</v>
      </c>
      <c r="H551" s="1" t="s">
        <v>3775</v>
      </c>
      <c r="I551" s="1" t="s">
        <v>7</v>
      </c>
      <c r="J551" s="1" t="s">
        <v>3776</v>
      </c>
      <c r="K551" s="1" t="s">
        <v>3777</v>
      </c>
      <c r="L551" s="1" t="s">
        <v>3778</v>
      </c>
      <c r="Q551" s="1">
        <v>1976</v>
      </c>
      <c r="R551" s="1" t="s">
        <v>3767</v>
      </c>
      <c r="S551" s="1" t="s">
        <v>27</v>
      </c>
      <c r="T551" s="6">
        <v>1</v>
      </c>
      <c r="Z551" s="1">
        <v>82.4</v>
      </c>
      <c r="AE551" s="1">
        <v>11.8</v>
      </c>
      <c r="AJ551" s="1">
        <v>1</v>
      </c>
      <c r="AV551" s="1">
        <v>1.6</v>
      </c>
    </row>
    <row r="552" spans="1:155" x14ac:dyDescent="0.2">
      <c r="A552" s="1" t="s">
        <v>3779</v>
      </c>
      <c r="B552" s="1" t="s">
        <v>57</v>
      </c>
      <c r="C552" s="1" t="s">
        <v>3761</v>
      </c>
      <c r="E552" s="1">
        <v>56</v>
      </c>
      <c r="F552" s="1" t="s">
        <v>3780</v>
      </c>
      <c r="H552" s="1" t="s">
        <v>3781</v>
      </c>
      <c r="I552" s="1" t="s">
        <v>7</v>
      </c>
      <c r="J552" s="1" t="s">
        <v>3782</v>
      </c>
      <c r="K552" s="1" t="s">
        <v>3783</v>
      </c>
      <c r="L552" s="1" t="s">
        <v>3782</v>
      </c>
      <c r="Q552" s="1">
        <v>1976</v>
      </c>
      <c r="R552" s="1" t="s">
        <v>3767</v>
      </c>
      <c r="S552" s="1" t="s">
        <v>27</v>
      </c>
      <c r="T552" s="6">
        <v>1</v>
      </c>
      <c r="Z552" s="1">
        <v>79.400000000000006</v>
      </c>
      <c r="AE552" s="1">
        <v>13.5</v>
      </c>
      <c r="AJ552" s="1">
        <v>1</v>
      </c>
      <c r="AV552" s="1">
        <v>2.6</v>
      </c>
    </row>
    <row r="553" spans="1:155" x14ac:dyDescent="0.2">
      <c r="A553" s="1" t="s">
        <v>3784</v>
      </c>
      <c r="B553" s="1" t="s">
        <v>55</v>
      </c>
      <c r="C553" s="1" t="s">
        <v>3785</v>
      </c>
      <c r="E553" s="1">
        <v>32</v>
      </c>
      <c r="F553" s="1" t="s">
        <v>3786</v>
      </c>
      <c r="H553" s="1" t="s">
        <v>3787</v>
      </c>
      <c r="I553" s="1" t="s">
        <v>7</v>
      </c>
      <c r="J553" s="1" t="s">
        <v>3788</v>
      </c>
      <c r="K553" s="1" t="s">
        <v>3789</v>
      </c>
      <c r="L553" s="1" t="s">
        <v>3788</v>
      </c>
      <c r="Q553" s="1">
        <v>1976</v>
      </c>
      <c r="R553" s="1" t="s">
        <v>3767</v>
      </c>
      <c r="S553" s="1" t="s">
        <v>27</v>
      </c>
      <c r="T553" s="6">
        <v>1</v>
      </c>
      <c r="Z553" s="1">
        <v>81.099999999999994</v>
      </c>
      <c r="AE553" s="1">
        <v>17.899999999999999</v>
      </c>
      <c r="AJ553" s="1">
        <v>0.66</v>
      </c>
      <c r="AV553" s="1">
        <v>1.2</v>
      </c>
    </row>
    <row r="554" spans="1:155" x14ac:dyDescent="0.2">
      <c r="A554" s="1" t="s">
        <v>3790</v>
      </c>
      <c r="B554" s="1" t="s">
        <v>55</v>
      </c>
      <c r="C554" s="1" t="s">
        <v>3791</v>
      </c>
      <c r="E554" s="1">
        <v>33</v>
      </c>
      <c r="F554" s="1" t="s">
        <v>3792</v>
      </c>
      <c r="H554" s="1" t="s">
        <v>3793</v>
      </c>
      <c r="I554" s="1" t="s">
        <v>7</v>
      </c>
      <c r="J554" s="1" t="s">
        <v>3794</v>
      </c>
      <c r="K554" s="1" t="s">
        <v>3795</v>
      </c>
      <c r="L554" s="1" t="s">
        <v>3794</v>
      </c>
      <c r="Q554" s="1">
        <v>1976</v>
      </c>
      <c r="R554" s="1" t="s">
        <v>3767</v>
      </c>
      <c r="S554" s="1" t="s">
        <v>27</v>
      </c>
      <c r="T554" s="6">
        <v>1</v>
      </c>
      <c r="Z554" s="1">
        <v>81.099999999999994</v>
      </c>
      <c r="AE554" s="1">
        <v>17.600000000000001</v>
      </c>
      <c r="AJ554" s="1">
        <v>0.96</v>
      </c>
      <c r="AV554" s="1">
        <v>1.2</v>
      </c>
    </row>
    <row r="555" spans="1:155" x14ac:dyDescent="0.2">
      <c r="A555" s="1" t="s">
        <v>3796</v>
      </c>
      <c r="B555" s="1" t="s">
        <v>1912</v>
      </c>
      <c r="C555" s="1" t="s">
        <v>3797</v>
      </c>
      <c r="E555" s="1">
        <v>42</v>
      </c>
      <c r="F555" s="1" t="s">
        <v>3798</v>
      </c>
      <c r="H555" s="1" t="s">
        <v>3799</v>
      </c>
      <c r="I555" s="1" t="s">
        <v>7</v>
      </c>
      <c r="J555" s="1" t="s">
        <v>3800</v>
      </c>
      <c r="K555" s="1" t="s">
        <v>3801</v>
      </c>
      <c r="L555" s="1" t="s">
        <v>3800</v>
      </c>
      <c r="Q555" s="1">
        <v>1976</v>
      </c>
      <c r="R555" s="1" t="s">
        <v>3767</v>
      </c>
      <c r="S555" s="1" t="s">
        <v>27</v>
      </c>
      <c r="T555" s="6">
        <v>1</v>
      </c>
      <c r="Z555" s="1">
        <v>78.099999999999994</v>
      </c>
      <c r="AE555" s="1">
        <v>19.3</v>
      </c>
      <c r="AJ555" s="1">
        <v>0.87</v>
      </c>
      <c r="AV555" s="1">
        <v>1.81</v>
      </c>
    </row>
    <row r="556" spans="1:155" x14ac:dyDescent="0.2">
      <c r="A556" s="1" t="s">
        <v>3802</v>
      </c>
      <c r="B556" s="1" t="s">
        <v>1912</v>
      </c>
      <c r="C556" s="1" t="s">
        <v>3797</v>
      </c>
      <c r="E556" s="1">
        <v>42</v>
      </c>
      <c r="F556" s="1" t="s">
        <v>3798</v>
      </c>
      <c r="H556" s="1" t="s">
        <v>3803</v>
      </c>
      <c r="I556" s="1" t="s">
        <v>7</v>
      </c>
      <c r="J556" s="1" t="s">
        <v>3800</v>
      </c>
      <c r="K556" s="1" t="s">
        <v>3801</v>
      </c>
      <c r="L556" s="1" t="s">
        <v>3800</v>
      </c>
      <c r="Q556" s="1">
        <v>1976</v>
      </c>
      <c r="R556" s="1" t="s">
        <v>3767</v>
      </c>
      <c r="S556" s="1" t="s">
        <v>27</v>
      </c>
      <c r="T556" s="6">
        <v>1</v>
      </c>
      <c r="Z556" s="1">
        <v>78.900000000000006</v>
      </c>
      <c r="AE556" s="1">
        <v>18.399999999999999</v>
      </c>
      <c r="AJ556" s="1">
        <v>0.82</v>
      </c>
      <c r="AV556" s="1">
        <v>1.95</v>
      </c>
    </row>
    <row r="557" spans="1:155" x14ac:dyDescent="0.2">
      <c r="A557" s="1" t="s">
        <v>3804</v>
      </c>
      <c r="B557" s="1" t="s">
        <v>1912</v>
      </c>
      <c r="C557" s="1" t="s">
        <v>3805</v>
      </c>
      <c r="E557" s="1">
        <v>44</v>
      </c>
      <c r="F557" s="1" t="s">
        <v>3806</v>
      </c>
      <c r="H557" s="1" t="s">
        <v>3807</v>
      </c>
      <c r="I557" s="1" t="s">
        <v>7</v>
      </c>
      <c r="J557" s="1" t="s">
        <v>3808</v>
      </c>
      <c r="K557" s="1" t="s">
        <v>3809</v>
      </c>
      <c r="L557" s="1" t="s">
        <v>3810</v>
      </c>
      <c r="Q557" s="1">
        <v>1976</v>
      </c>
      <c r="R557" s="1" t="s">
        <v>3767</v>
      </c>
      <c r="S557" s="1" t="s">
        <v>27</v>
      </c>
      <c r="T557" s="6">
        <v>1</v>
      </c>
      <c r="Z557" s="1">
        <v>86.1</v>
      </c>
      <c r="AE557" s="1">
        <v>11.6</v>
      </c>
      <c r="AJ557" s="1">
        <v>0.6</v>
      </c>
      <c r="AV557" s="1">
        <v>2.34</v>
      </c>
    </row>
    <row r="558" spans="1:155" x14ac:dyDescent="0.2">
      <c r="A558" s="1" t="s">
        <v>3811</v>
      </c>
      <c r="B558" s="1" t="s">
        <v>1912</v>
      </c>
      <c r="C558" s="1" t="s">
        <v>3805</v>
      </c>
      <c r="E558" s="1">
        <v>44</v>
      </c>
      <c r="F558" s="1" t="s">
        <v>3806</v>
      </c>
      <c r="H558" s="1" t="s">
        <v>3812</v>
      </c>
      <c r="I558" s="1" t="s">
        <v>7</v>
      </c>
      <c r="J558" s="1" t="s">
        <v>3808</v>
      </c>
      <c r="K558" s="1" t="s">
        <v>3809</v>
      </c>
      <c r="L558" s="1" t="s">
        <v>3810</v>
      </c>
      <c r="Q558" s="1">
        <v>1976</v>
      </c>
      <c r="R558" s="1" t="s">
        <v>3767</v>
      </c>
      <c r="S558" s="1" t="s">
        <v>27</v>
      </c>
      <c r="T558" s="6">
        <v>1</v>
      </c>
      <c r="Z558" s="1">
        <v>86</v>
      </c>
      <c r="AE558" s="1">
        <v>13.5</v>
      </c>
      <c r="AJ558" s="1">
        <v>0.69</v>
      </c>
    </row>
    <row r="559" spans="1:155" x14ac:dyDescent="0.2">
      <c r="A559" s="1" t="s">
        <v>3813</v>
      </c>
      <c r="B559" s="1" t="s">
        <v>1912</v>
      </c>
      <c r="C559" s="1" t="s">
        <v>3805</v>
      </c>
      <c r="E559" s="1">
        <v>44</v>
      </c>
      <c r="F559" s="1" t="s">
        <v>3806</v>
      </c>
      <c r="H559" s="1" t="s">
        <v>3814</v>
      </c>
      <c r="I559" s="1" t="s">
        <v>7</v>
      </c>
      <c r="J559" s="1" t="s">
        <v>3808</v>
      </c>
      <c r="K559" s="1" t="s">
        <v>3809</v>
      </c>
      <c r="L559" s="1" t="s">
        <v>3810</v>
      </c>
      <c r="Q559" s="1">
        <v>1976</v>
      </c>
      <c r="R559" s="1" t="s">
        <v>3767</v>
      </c>
      <c r="S559" s="1" t="s">
        <v>27</v>
      </c>
      <c r="T559" s="6">
        <v>1</v>
      </c>
      <c r="Z559" s="1">
        <v>79.599999999999994</v>
      </c>
      <c r="AE559" s="1">
        <v>18.2</v>
      </c>
      <c r="AJ559" s="1">
        <v>1.1599999999999999</v>
      </c>
      <c r="AV559" s="1">
        <v>1.89</v>
      </c>
    </row>
    <row r="560" spans="1:155" x14ac:dyDescent="0.2">
      <c r="A560" s="1" t="s">
        <v>3815</v>
      </c>
      <c r="B560" s="1" t="s">
        <v>57</v>
      </c>
      <c r="C560" s="1" t="s">
        <v>3761</v>
      </c>
      <c r="E560" s="1">
        <v>76</v>
      </c>
      <c r="F560" s="1" t="s">
        <v>3816</v>
      </c>
      <c r="H560" s="1" t="s">
        <v>3817</v>
      </c>
      <c r="I560" s="1" t="s">
        <v>7</v>
      </c>
      <c r="J560" s="1" t="s">
        <v>3818</v>
      </c>
      <c r="K560" s="1" t="s">
        <v>3819</v>
      </c>
      <c r="L560" s="1" t="s">
        <v>3820</v>
      </c>
      <c r="Q560" s="1">
        <v>1976</v>
      </c>
      <c r="R560" s="1" t="s">
        <v>3767</v>
      </c>
      <c r="S560" s="1" t="s">
        <v>27</v>
      </c>
      <c r="T560" s="6">
        <v>1</v>
      </c>
      <c r="Z560" s="1">
        <v>86.2</v>
      </c>
      <c r="AE560" s="1">
        <v>10.6</v>
      </c>
      <c r="AJ560" s="1">
        <v>0.6</v>
      </c>
      <c r="AV560" s="1">
        <v>1.7</v>
      </c>
    </row>
    <row r="561" spans="1:48" x14ac:dyDescent="0.2">
      <c r="A561" s="1" t="s">
        <v>3821</v>
      </c>
      <c r="B561" s="1" t="s">
        <v>55</v>
      </c>
      <c r="C561" s="1" t="s">
        <v>3822</v>
      </c>
      <c r="E561" s="1">
        <v>38</v>
      </c>
      <c r="F561" s="1" t="s">
        <v>3823</v>
      </c>
      <c r="H561" s="1" t="s">
        <v>3824</v>
      </c>
      <c r="I561" s="1" t="s">
        <v>7</v>
      </c>
      <c r="J561" s="1" t="s">
        <v>3825</v>
      </c>
      <c r="K561" s="1" t="s">
        <v>3826</v>
      </c>
      <c r="L561" s="1" t="s">
        <v>3825</v>
      </c>
      <c r="Q561" s="1">
        <v>1976</v>
      </c>
      <c r="R561" s="1" t="s">
        <v>3767</v>
      </c>
      <c r="S561" s="1" t="s">
        <v>27</v>
      </c>
      <c r="T561" s="6">
        <v>1</v>
      </c>
      <c r="Z561" s="1">
        <v>70.599999999999994</v>
      </c>
      <c r="AE561" s="1">
        <v>17.399999999999999</v>
      </c>
      <c r="AJ561" s="1">
        <v>13.4</v>
      </c>
      <c r="AV561" s="1">
        <v>0.8</v>
      </c>
    </row>
    <row r="562" spans="1:48" x14ac:dyDescent="0.2">
      <c r="A562" s="1" t="s">
        <v>3827</v>
      </c>
      <c r="B562" s="1" t="s">
        <v>55</v>
      </c>
      <c r="C562" s="1" t="s">
        <v>3828</v>
      </c>
      <c r="E562" s="1">
        <v>38</v>
      </c>
      <c r="F562" s="1" t="s">
        <v>3823</v>
      </c>
      <c r="H562" s="1" t="s">
        <v>3829</v>
      </c>
      <c r="I562" s="1" t="s">
        <v>7</v>
      </c>
      <c r="J562" s="1" t="s">
        <v>3825</v>
      </c>
      <c r="K562" s="1" t="s">
        <v>3826</v>
      </c>
      <c r="L562" s="1" t="s">
        <v>3825</v>
      </c>
      <c r="Q562" s="1">
        <v>1976</v>
      </c>
      <c r="R562" s="1" t="s">
        <v>3767</v>
      </c>
      <c r="S562" s="1" t="s">
        <v>27</v>
      </c>
      <c r="T562" s="6">
        <v>1</v>
      </c>
      <c r="Z562" s="1">
        <v>69.5</v>
      </c>
      <c r="AE562" s="1">
        <v>16.3</v>
      </c>
      <c r="AJ562" s="1">
        <v>15.3</v>
      </c>
      <c r="AV562" s="1">
        <v>1.77</v>
      </c>
    </row>
    <row r="563" spans="1:48" x14ac:dyDescent="0.2">
      <c r="A563" s="1" t="s">
        <v>3830</v>
      </c>
      <c r="B563" s="1" t="s">
        <v>55</v>
      </c>
      <c r="C563" s="1" t="s">
        <v>3831</v>
      </c>
      <c r="E563" s="1">
        <v>23</v>
      </c>
      <c r="F563" s="1" t="s">
        <v>3832</v>
      </c>
      <c r="H563" s="1" t="s">
        <v>3833</v>
      </c>
      <c r="I563" s="1" t="s">
        <v>7</v>
      </c>
      <c r="J563" s="1" t="s">
        <v>3834</v>
      </c>
      <c r="K563" s="1" t="s">
        <v>3835</v>
      </c>
      <c r="L563" s="1" t="s">
        <v>3834</v>
      </c>
      <c r="Q563" s="1">
        <v>1976</v>
      </c>
      <c r="R563" s="1" t="s">
        <v>3767</v>
      </c>
      <c r="S563" s="1" t="s">
        <v>27</v>
      </c>
      <c r="T563" s="6">
        <v>1</v>
      </c>
      <c r="Z563" s="1">
        <v>79.599999999999994</v>
      </c>
      <c r="AE563" s="1">
        <v>14.6</v>
      </c>
      <c r="AJ563" s="1">
        <v>6.25</v>
      </c>
      <c r="AV563" s="1">
        <v>1.25</v>
      </c>
    </row>
    <row r="564" spans="1:48" x14ac:dyDescent="0.2">
      <c r="A564" s="1" t="s">
        <v>3836</v>
      </c>
      <c r="B564" s="1" t="s">
        <v>55</v>
      </c>
      <c r="C564" s="1" t="s">
        <v>3837</v>
      </c>
      <c r="E564" s="1">
        <v>31</v>
      </c>
      <c r="F564" s="1" t="s">
        <v>3838</v>
      </c>
      <c r="H564" s="1" t="s">
        <v>3839</v>
      </c>
      <c r="I564" s="1" t="s">
        <v>7</v>
      </c>
      <c r="J564" s="1" t="s">
        <v>3840</v>
      </c>
      <c r="K564" s="1" t="s">
        <v>3841</v>
      </c>
      <c r="L564" s="1" t="s">
        <v>3840</v>
      </c>
      <c r="Q564" s="1">
        <v>1976</v>
      </c>
      <c r="R564" s="1" t="s">
        <v>3767</v>
      </c>
      <c r="S564" s="1" t="s">
        <v>27</v>
      </c>
      <c r="T564" s="6">
        <v>1</v>
      </c>
      <c r="Z564" s="1">
        <v>79.5</v>
      </c>
      <c r="AE564" s="1">
        <v>17.7</v>
      </c>
      <c r="AJ564" s="1">
        <v>2.2999999999999998</v>
      </c>
      <c r="AV564" s="1">
        <v>1.1100000000000001</v>
      </c>
    </row>
    <row r="565" spans="1:48" x14ac:dyDescent="0.2">
      <c r="A565" s="1" t="s">
        <v>3842</v>
      </c>
      <c r="B565" s="1" t="s">
        <v>55</v>
      </c>
      <c r="C565" s="1" t="s">
        <v>3843</v>
      </c>
      <c r="E565" s="1">
        <v>31</v>
      </c>
      <c r="F565" s="1" t="s">
        <v>3844</v>
      </c>
      <c r="H565" s="1" t="s">
        <v>3845</v>
      </c>
      <c r="I565" s="1" t="s">
        <v>7</v>
      </c>
      <c r="J565" s="1" t="s">
        <v>3846</v>
      </c>
      <c r="K565" s="1" t="s">
        <v>3847</v>
      </c>
      <c r="L565" s="1" t="s">
        <v>3846</v>
      </c>
      <c r="Q565" s="1">
        <v>1976</v>
      </c>
      <c r="R565" s="1" t="s">
        <v>3767</v>
      </c>
      <c r="S565" s="1" t="s">
        <v>27</v>
      </c>
      <c r="T565" s="6">
        <v>1</v>
      </c>
      <c r="Z565" s="1">
        <v>80.3</v>
      </c>
      <c r="AE565" s="1">
        <v>17.3</v>
      </c>
      <c r="AJ565" s="1">
        <v>1.4</v>
      </c>
      <c r="AV565" s="1">
        <v>1.1200000000000001</v>
      </c>
    </row>
    <row r="566" spans="1:48" x14ac:dyDescent="0.2">
      <c r="A566" s="1" t="s">
        <v>3848</v>
      </c>
      <c r="B566" s="1" t="s">
        <v>57</v>
      </c>
      <c r="C566" s="1" t="s">
        <v>3761</v>
      </c>
      <c r="E566" s="1">
        <v>56</v>
      </c>
      <c r="F566" s="1" t="s">
        <v>3849</v>
      </c>
      <c r="H566" s="1" t="s">
        <v>3850</v>
      </c>
      <c r="I566" s="1" t="s">
        <v>7</v>
      </c>
      <c r="J566" s="1" t="s">
        <v>3851</v>
      </c>
      <c r="K566" s="1" t="s">
        <v>3852</v>
      </c>
      <c r="L566" s="1" t="s">
        <v>3853</v>
      </c>
      <c r="Q566" s="1">
        <v>1976</v>
      </c>
      <c r="R566" s="1" t="s">
        <v>3767</v>
      </c>
      <c r="S566" s="1" t="s">
        <v>27</v>
      </c>
      <c r="T566" s="6">
        <v>1</v>
      </c>
      <c r="Z566" s="1">
        <v>77.2</v>
      </c>
      <c r="AE566" s="1">
        <v>15.9</v>
      </c>
      <c r="AJ566" s="1">
        <v>0.8</v>
      </c>
      <c r="AV566" s="1">
        <v>4.5999999999999996</v>
      </c>
    </row>
    <row r="567" spans="1:48" x14ac:dyDescent="0.2">
      <c r="A567" s="1" t="s">
        <v>3854</v>
      </c>
      <c r="B567" s="1" t="s">
        <v>57</v>
      </c>
      <c r="C567" s="1" t="s">
        <v>3761</v>
      </c>
      <c r="E567" s="1">
        <v>56</v>
      </c>
      <c r="F567" s="1" t="s">
        <v>3849</v>
      </c>
      <c r="H567" s="1" t="s">
        <v>3855</v>
      </c>
      <c r="I567" s="1" t="s">
        <v>7</v>
      </c>
      <c r="J567" s="1" t="s">
        <v>3851</v>
      </c>
      <c r="L567" s="1" t="s">
        <v>3853</v>
      </c>
      <c r="Q567" s="1">
        <v>1976</v>
      </c>
      <c r="R567" s="1" t="s">
        <v>3767</v>
      </c>
      <c r="S567" s="1" t="s">
        <v>27</v>
      </c>
      <c r="T567" s="6">
        <v>1</v>
      </c>
      <c r="Z567" s="1">
        <v>78.8</v>
      </c>
      <c r="AE567" s="1">
        <v>15</v>
      </c>
      <c r="AJ567" s="1">
        <v>3.2</v>
      </c>
      <c r="AV567" s="1">
        <v>1.8</v>
      </c>
    </row>
    <row r="568" spans="1:48" x14ac:dyDescent="0.2">
      <c r="A568" s="1" t="s">
        <v>3856</v>
      </c>
      <c r="B568" s="1" t="s">
        <v>55</v>
      </c>
      <c r="C568" s="1" t="s">
        <v>3857</v>
      </c>
      <c r="E568" s="1">
        <v>31</v>
      </c>
      <c r="F568" s="1" t="s">
        <v>3858</v>
      </c>
      <c r="H568" s="1" t="s">
        <v>3859</v>
      </c>
      <c r="I568" s="1" t="s">
        <v>7</v>
      </c>
      <c r="J568" s="1" t="s">
        <v>3860</v>
      </c>
      <c r="K568" s="1" t="s">
        <v>3861</v>
      </c>
      <c r="L568" s="1" t="s">
        <v>3860</v>
      </c>
      <c r="Q568" s="1">
        <v>1976</v>
      </c>
      <c r="R568" s="1" t="s">
        <v>3767</v>
      </c>
      <c r="S568" s="1" t="s">
        <v>27</v>
      </c>
      <c r="T568" s="6">
        <v>1</v>
      </c>
      <c r="Z568" s="1">
        <v>78.3</v>
      </c>
      <c r="AE568" s="1">
        <v>20.7</v>
      </c>
      <c r="AJ568" s="1">
        <v>0.79</v>
      </c>
      <c r="AV568" s="1">
        <v>1.35</v>
      </c>
    </row>
    <row r="569" spans="1:48" x14ac:dyDescent="0.2">
      <c r="A569" s="1" t="s">
        <v>3862</v>
      </c>
      <c r="B569" s="1" t="s">
        <v>55</v>
      </c>
      <c r="C569" s="1" t="s">
        <v>3863</v>
      </c>
      <c r="E569" s="1">
        <v>35</v>
      </c>
      <c r="F569" s="1" t="s">
        <v>3864</v>
      </c>
      <c r="H569" s="1" t="s">
        <v>3865</v>
      </c>
      <c r="I569" s="1" t="s">
        <v>7</v>
      </c>
      <c r="J569" s="1" t="s">
        <v>3866</v>
      </c>
      <c r="K569" s="1" t="s">
        <v>1971</v>
      </c>
      <c r="L569" s="1" t="s">
        <v>3867</v>
      </c>
      <c r="Q569" s="1">
        <v>1976</v>
      </c>
      <c r="R569" s="1" t="s">
        <v>3767</v>
      </c>
      <c r="S569" s="1" t="s">
        <v>27</v>
      </c>
      <c r="T569" s="6">
        <v>1</v>
      </c>
      <c r="Z569" s="1">
        <v>70.7</v>
      </c>
      <c r="AE569" s="1">
        <v>16</v>
      </c>
      <c r="AJ569" s="1">
        <v>12.5</v>
      </c>
      <c r="AV569" s="1">
        <v>1.28</v>
      </c>
    </row>
    <row r="570" spans="1:48" x14ac:dyDescent="0.2">
      <c r="A570" s="1" t="s">
        <v>3868</v>
      </c>
      <c r="B570" s="1" t="s">
        <v>55</v>
      </c>
      <c r="C570" s="1" t="s">
        <v>3869</v>
      </c>
      <c r="E570" s="1">
        <v>35</v>
      </c>
      <c r="F570" s="1" t="s">
        <v>1968</v>
      </c>
      <c r="H570" s="1" t="s">
        <v>3870</v>
      </c>
      <c r="I570" s="1" t="s">
        <v>7</v>
      </c>
      <c r="J570" s="1" t="s">
        <v>3866</v>
      </c>
      <c r="K570" s="1" t="s">
        <v>1971</v>
      </c>
      <c r="L570" s="1" t="s">
        <v>1970</v>
      </c>
      <c r="Q570" s="1">
        <v>1976</v>
      </c>
      <c r="R570" s="1" t="s">
        <v>3767</v>
      </c>
      <c r="S570" s="1" t="s">
        <v>27</v>
      </c>
      <c r="T570" s="6">
        <v>1</v>
      </c>
      <c r="Z570" s="1">
        <v>70.8</v>
      </c>
      <c r="AE570" s="1">
        <v>16.399999999999999</v>
      </c>
      <c r="AJ570" s="1">
        <v>12.8</v>
      </c>
      <c r="AV570" s="1">
        <v>2.4</v>
      </c>
    </row>
    <row r="571" spans="1:48" x14ac:dyDescent="0.2">
      <c r="A571" s="1" t="s">
        <v>3871</v>
      </c>
      <c r="B571" s="1" t="s">
        <v>57</v>
      </c>
      <c r="C571" s="1" t="s">
        <v>3761</v>
      </c>
      <c r="E571" s="1">
        <v>57</v>
      </c>
      <c r="F571" s="1" t="s">
        <v>3872</v>
      </c>
      <c r="H571" s="1" t="s">
        <v>3873</v>
      </c>
      <c r="I571" s="1" t="s">
        <v>7</v>
      </c>
      <c r="J571" s="1" t="s">
        <v>3874</v>
      </c>
      <c r="K571" s="1" t="s">
        <v>3875</v>
      </c>
      <c r="L571" s="1" t="s">
        <v>3876</v>
      </c>
      <c r="Q571" s="1">
        <v>1976</v>
      </c>
      <c r="R571" s="1" t="s">
        <v>3767</v>
      </c>
      <c r="S571" s="1" t="s">
        <v>27</v>
      </c>
      <c r="T571" s="6">
        <v>1</v>
      </c>
      <c r="Z571" s="1">
        <v>84.9</v>
      </c>
      <c r="AE571" s="1">
        <v>13.2</v>
      </c>
      <c r="AJ571" s="1">
        <v>0.83</v>
      </c>
      <c r="AV571" s="1">
        <v>1.58</v>
      </c>
    </row>
    <row r="572" spans="1:48" x14ac:dyDescent="0.2">
      <c r="A572" s="1" t="s">
        <v>3877</v>
      </c>
      <c r="B572" s="1" t="s">
        <v>57</v>
      </c>
      <c r="C572" s="1" t="s">
        <v>3878</v>
      </c>
      <c r="E572" s="1">
        <v>53</v>
      </c>
      <c r="F572" s="1" t="s">
        <v>3879</v>
      </c>
      <c r="H572" s="1" t="s">
        <v>3880</v>
      </c>
      <c r="I572" s="1" t="s">
        <v>7</v>
      </c>
      <c r="J572" s="1" t="s">
        <v>3881</v>
      </c>
      <c r="K572" s="1" t="s">
        <v>3882</v>
      </c>
      <c r="L572" s="1" t="s">
        <v>3881</v>
      </c>
      <c r="Q572" s="1">
        <v>1976</v>
      </c>
      <c r="R572" s="1" t="s">
        <v>3767</v>
      </c>
      <c r="S572" s="1" t="s">
        <v>27</v>
      </c>
      <c r="T572" s="6">
        <v>1</v>
      </c>
      <c r="Z572" s="1">
        <v>80.5</v>
      </c>
      <c r="AE572" s="1">
        <v>10.4</v>
      </c>
      <c r="AJ572" s="1">
        <v>1.26</v>
      </c>
      <c r="AV572" s="1">
        <v>1.43</v>
      </c>
    </row>
    <row r="573" spans="1:48" x14ac:dyDescent="0.2">
      <c r="A573" s="1" t="s">
        <v>3883</v>
      </c>
      <c r="B573" s="1" t="s">
        <v>57</v>
      </c>
      <c r="C573" s="1" t="s">
        <v>3761</v>
      </c>
      <c r="E573" s="1">
        <v>53</v>
      </c>
      <c r="F573" s="1" t="s">
        <v>3884</v>
      </c>
      <c r="H573" s="1" t="s">
        <v>3885</v>
      </c>
      <c r="I573" s="1" t="s">
        <v>7</v>
      </c>
      <c r="J573" s="1" t="s">
        <v>3886</v>
      </c>
      <c r="K573" s="1" t="s">
        <v>3887</v>
      </c>
      <c r="L573" s="1" t="s">
        <v>3886</v>
      </c>
      <c r="Q573" s="1">
        <v>1976</v>
      </c>
      <c r="R573" s="1" t="s">
        <v>3767</v>
      </c>
      <c r="S573" s="1" t="s">
        <v>27</v>
      </c>
      <c r="T573" s="6">
        <v>1</v>
      </c>
      <c r="Z573" s="1">
        <v>86.3</v>
      </c>
      <c r="AE573" s="1">
        <v>10.6</v>
      </c>
      <c r="AJ573" s="1">
        <v>0.5</v>
      </c>
      <c r="AV573" s="1">
        <v>1.9</v>
      </c>
    </row>
    <row r="574" spans="1:48" x14ac:dyDescent="0.2">
      <c r="A574" s="1" t="s">
        <v>3888</v>
      </c>
      <c r="B574" s="1" t="s">
        <v>55</v>
      </c>
      <c r="C574" s="1" t="s">
        <v>3889</v>
      </c>
      <c r="E574" s="1">
        <v>32</v>
      </c>
      <c r="F574" s="1" t="s">
        <v>3890</v>
      </c>
      <c r="H574" s="1" t="s">
        <v>3891</v>
      </c>
      <c r="I574" s="1" t="s">
        <v>7</v>
      </c>
      <c r="J574" s="1" t="s">
        <v>3892</v>
      </c>
      <c r="K574" s="1" t="s">
        <v>3893</v>
      </c>
      <c r="L574" s="1" t="s">
        <v>3892</v>
      </c>
      <c r="Q574" s="1">
        <v>1976</v>
      </c>
      <c r="R574" s="1" t="s">
        <v>3767</v>
      </c>
      <c r="S574" s="1" t="s">
        <v>27</v>
      </c>
      <c r="T574" s="6">
        <v>1</v>
      </c>
      <c r="Z574" s="1">
        <v>81.5</v>
      </c>
      <c r="AE574" s="1">
        <v>18.899999999999999</v>
      </c>
      <c r="AJ574" s="1">
        <v>0.98</v>
      </c>
      <c r="AV574" s="1">
        <v>1.34</v>
      </c>
    </row>
    <row r="575" spans="1:48" x14ac:dyDescent="0.2">
      <c r="A575" s="1" t="s">
        <v>3894</v>
      </c>
      <c r="B575" s="1" t="s">
        <v>55</v>
      </c>
      <c r="C575" s="1" t="s">
        <v>3761</v>
      </c>
      <c r="E575" s="1">
        <v>38</v>
      </c>
      <c r="F575" s="1" t="s">
        <v>3895</v>
      </c>
      <c r="H575" s="1" t="s">
        <v>3896</v>
      </c>
      <c r="I575" s="1" t="s">
        <v>7</v>
      </c>
      <c r="J575" s="1" t="s">
        <v>3897</v>
      </c>
      <c r="K575" s="1" t="s">
        <v>3898</v>
      </c>
      <c r="L575" s="1" t="s">
        <v>3897</v>
      </c>
      <c r="Q575" s="1">
        <v>1976</v>
      </c>
      <c r="R575" s="1" t="s">
        <v>3767</v>
      </c>
      <c r="S575" s="1" t="s">
        <v>27</v>
      </c>
      <c r="T575" s="6">
        <v>1</v>
      </c>
      <c r="Z575" s="1">
        <v>75.3</v>
      </c>
      <c r="AE575" s="1">
        <v>15.1</v>
      </c>
      <c r="AJ575" s="1">
        <v>10.7</v>
      </c>
      <c r="AV575" s="1">
        <v>1.6</v>
      </c>
    </row>
    <row r="576" spans="1:48" x14ac:dyDescent="0.2">
      <c r="A576" s="1" t="s">
        <v>3899</v>
      </c>
      <c r="B576" s="1" t="s">
        <v>55</v>
      </c>
      <c r="C576" s="1" t="s">
        <v>3761</v>
      </c>
      <c r="E576" s="1">
        <v>34</v>
      </c>
      <c r="F576" s="1" t="s">
        <v>3900</v>
      </c>
      <c r="H576" s="1" t="s">
        <v>3901</v>
      </c>
      <c r="I576" s="1" t="s">
        <v>7</v>
      </c>
      <c r="J576" s="1" t="s">
        <v>3902</v>
      </c>
      <c r="K576" s="1" t="s">
        <v>3903</v>
      </c>
      <c r="L576" s="1" t="s">
        <v>3902</v>
      </c>
      <c r="Q576" s="1">
        <v>1976</v>
      </c>
      <c r="R576" s="1" t="s">
        <v>3767</v>
      </c>
      <c r="S576" s="1" t="s">
        <v>27</v>
      </c>
      <c r="T576" s="6">
        <v>1</v>
      </c>
      <c r="Z576" s="1">
        <v>81</v>
      </c>
      <c r="AE576" s="1">
        <v>18.7</v>
      </c>
      <c r="AJ576" s="1">
        <v>1.84</v>
      </c>
      <c r="AV576" s="1">
        <v>1.17</v>
      </c>
    </row>
    <row r="577" spans="1:48" x14ac:dyDescent="0.2">
      <c r="A577" s="1" t="s">
        <v>3904</v>
      </c>
      <c r="B577" s="1" t="s">
        <v>55</v>
      </c>
      <c r="C577" s="1" t="s">
        <v>3761</v>
      </c>
      <c r="E577" s="1">
        <v>34</v>
      </c>
      <c r="F577" s="1" t="s">
        <v>3905</v>
      </c>
      <c r="H577" s="1" t="s">
        <v>3906</v>
      </c>
      <c r="I577" s="1" t="s">
        <v>7</v>
      </c>
      <c r="J577" s="1" t="s">
        <v>3907</v>
      </c>
      <c r="K577" s="1" t="s">
        <v>3908</v>
      </c>
      <c r="L577" s="1" t="s">
        <v>3907</v>
      </c>
      <c r="Q577" s="1">
        <v>1976</v>
      </c>
      <c r="R577" s="1" t="s">
        <v>3767</v>
      </c>
      <c r="S577" s="1" t="s">
        <v>27</v>
      </c>
      <c r="T577" s="6">
        <v>1</v>
      </c>
      <c r="Z577" s="1">
        <v>77.099999999999994</v>
      </c>
      <c r="AE577" s="1">
        <v>19.8</v>
      </c>
      <c r="AJ577" s="1">
        <v>2.19</v>
      </c>
      <c r="AV577" s="1">
        <v>1.23</v>
      </c>
    </row>
    <row r="578" spans="1:48" x14ac:dyDescent="0.2">
      <c r="A578" s="1" t="s">
        <v>3909</v>
      </c>
      <c r="B578" s="1" t="s">
        <v>55</v>
      </c>
      <c r="C578" s="1" t="s">
        <v>3761</v>
      </c>
      <c r="E578" s="1">
        <v>34</v>
      </c>
      <c r="F578" s="1" t="s">
        <v>3910</v>
      </c>
      <c r="H578" s="1" t="s">
        <v>3911</v>
      </c>
      <c r="I578" s="1" t="s">
        <v>7</v>
      </c>
      <c r="J578" s="1" t="s">
        <v>3912</v>
      </c>
      <c r="K578" s="1" t="s">
        <v>3913</v>
      </c>
      <c r="L578" s="1" t="s">
        <v>3912</v>
      </c>
      <c r="Q578" s="1">
        <v>1976</v>
      </c>
      <c r="R578" s="1" t="s">
        <v>3767</v>
      </c>
      <c r="S578" s="1" t="s">
        <v>27</v>
      </c>
      <c r="T578" s="6">
        <v>1</v>
      </c>
      <c r="Z578" s="1">
        <v>79.599999999999994</v>
      </c>
      <c r="AE578" s="1">
        <v>19.3</v>
      </c>
      <c r="AJ578" s="1">
        <v>1.27</v>
      </c>
      <c r="AV578" s="1">
        <v>1.63</v>
      </c>
    </row>
    <row r="579" spans="1:48" x14ac:dyDescent="0.2">
      <c r="A579" s="1" t="s">
        <v>3914</v>
      </c>
      <c r="B579" s="1" t="s">
        <v>55</v>
      </c>
      <c r="C579" s="1" t="s">
        <v>3915</v>
      </c>
      <c r="E579" s="1">
        <v>34</v>
      </c>
      <c r="F579" s="1" t="s">
        <v>3916</v>
      </c>
      <c r="H579" s="1" t="s">
        <v>3917</v>
      </c>
      <c r="I579" s="1" t="s">
        <v>7</v>
      </c>
      <c r="J579" s="1" t="s">
        <v>3918</v>
      </c>
      <c r="K579" s="1" t="s">
        <v>3919</v>
      </c>
      <c r="L579" s="1" t="s">
        <v>3918</v>
      </c>
      <c r="Q579" s="1">
        <v>1976</v>
      </c>
      <c r="R579" s="1" t="s">
        <v>3767</v>
      </c>
      <c r="S579" s="1" t="s">
        <v>27</v>
      </c>
      <c r="T579" s="6">
        <v>1</v>
      </c>
      <c r="Z579" s="1">
        <v>80</v>
      </c>
      <c r="AE579" s="1">
        <v>18.600000000000001</v>
      </c>
      <c r="AJ579" s="1">
        <v>1.04</v>
      </c>
      <c r="AV579" s="1">
        <v>1.2</v>
      </c>
    </row>
    <row r="580" spans="1:48" x14ac:dyDescent="0.2">
      <c r="A580" s="1" t="s">
        <v>3920</v>
      </c>
      <c r="B580" s="1" t="s">
        <v>55</v>
      </c>
      <c r="C580" s="1" t="s">
        <v>3921</v>
      </c>
      <c r="E580" s="1">
        <v>34</v>
      </c>
      <c r="F580" s="1" t="s">
        <v>3922</v>
      </c>
      <c r="H580" s="1" t="s">
        <v>3923</v>
      </c>
      <c r="I580" s="1" t="s">
        <v>7</v>
      </c>
      <c r="J580" s="1" t="s">
        <v>3924</v>
      </c>
      <c r="K580" s="1" t="s">
        <v>3925</v>
      </c>
      <c r="L580" s="1" t="s">
        <v>3924</v>
      </c>
      <c r="Q580" s="1">
        <v>1976</v>
      </c>
      <c r="R580" s="1" t="s">
        <v>3767</v>
      </c>
      <c r="S580" s="1" t="s">
        <v>27</v>
      </c>
      <c r="T580" s="6">
        <v>1</v>
      </c>
      <c r="Z580" s="1">
        <v>76.5</v>
      </c>
      <c r="AE580" s="1">
        <v>20.8</v>
      </c>
      <c r="AJ580" s="1">
        <v>2.35</v>
      </c>
      <c r="AV580" s="1">
        <v>1.1000000000000001</v>
      </c>
    </row>
    <row r="581" spans="1:48" x14ac:dyDescent="0.2">
      <c r="A581" s="1" t="s">
        <v>3926</v>
      </c>
      <c r="B581" s="1" t="s">
        <v>55</v>
      </c>
      <c r="C581" s="1" t="s">
        <v>3915</v>
      </c>
      <c r="E581" s="1">
        <v>34</v>
      </c>
      <c r="F581" s="1" t="s">
        <v>3927</v>
      </c>
      <c r="H581" s="1" t="s">
        <v>3928</v>
      </c>
      <c r="I581" s="1" t="s">
        <v>7</v>
      </c>
      <c r="J581" s="1" t="s">
        <v>3929</v>
      </c>
      <c r="K581" s="1" t="s">
        <v>3930</v>
      </c>
      <c r="L581" s="1" t="s">
        <v>3931</v>
      </c>
      <c r="Q581" s="1">
        <v>1976</v>
      </c>
      <c r="R581" s="1" t="s">
        <v>3767</v>
      </c>
      <c r="S581" s="1" t="s">
        <v>27</v>
      </c>
      <c r="T581" s="6">
        <v>1</v>
      </c>
      <c r="Z581" s="1">
        <v>78.900000000000006</v>
      </c>
      <c r="AE581" s="1">
        <v>18.2</v>
      </c>
      <c r="AJ581" s="1">
        <v>1.78</v>
      </c>
      <c r="AV581" s="1">
        <v>1.1000000000000001</v>
      </c>
    </row>
    <row r="582" spans="1:48" x14ac:dyDescent="0.2">
      <c r="A582" s="1" t="s">
        <v>3932</v>
      </c>
      <c r="B582" s="1" t="s">
        <v>55</v>
      </c>
      <c r="C582" s="1" t="s">
        <v>3791</v>
      </c>
      <c r="E582" s="1">
        <v>34</v>
      </c>
      <c r="F582" s="1" t="s">
        <v>3933</v>
      </c>
      <c r="H582" s="1" t="s">
        <v>3934</v>
      </c>
      <c r="I582" s="1" t="s">
        <v>7</v>
      </c>
      <c r="J582" s="1" t="s">
        <v>3935</v>
      </c>
      <c r="K582" s="1" t="s">
        <v>3936</v>
      </c>
      <c r="L582" s="1" t="s">
        <v>3935</v>
      </c>
      <c r="Q582" s="1">
        <v>1976</v>
      </c>
      <c r="R582" s="1" t="s">
        <v>3767</v>
      </c>
      <c r="S582" s="1" t="s">
        <v>27</v>
      </c>
      <c r="T582" s="6">
        <v>1</v>
      </c>
      <c r="Z582" s="1">
        <v>78.5</v>
      </c>
      <c r="AE582" s="1">
        <v>20.3</v>
      </c>
      <c r="AJ582" s="1">
        <v>0.73</v>
      </c>
      <c r="AV582" s="1">
        <v>1.21</v>
      </c>
    </row>
    <row r="583" spans="1:48" x14ac:dyDescent="0.2">
      <c r="A583" s="1" t="s">
        <v>3937</v>
      </c>
      <c r="B583" s="1" t="s">
        <v>55</v>
      </c>
      <c r="C583" s="1" t="s">
        <v>3791</v>
      </c>
      <c r="E583" s="1">
        <v>34</v>
      </c>
      <c r="F583" s="1" t="s">
        <v>3927</v>
      </c>
      <c r="H583" s="1" t="s">
        <v>3938</v>
      </c>
      <c r="I583" s="1" t="s">
        <v>7</v>
      </c>
      <c r="J583" s="1" t="s">
        <v>3939</v>
      </c>
      <c r="K583" s="1" t="s">
        <v>3930</v>
      </c>
      <c r="L583" s="1" t="s">
        <v>3931</v>
      </c>
      <c r="Q583" s="1">
        <v>1976</v>
      </c>
      <c r="R583" s="1" t="s">
        <v>3767</v>
      </c>
      <c r="S583" s="1" t="s">
        <v>27</v>
      </c>
      <c r="T583" s="6">
        <v>1</v>
      </c>
      <c r="Z583" s="1">
        <v>80.7</v>
      </c>
      <c r="AE583" s="1">
        <v>17.3</v>
      </c>
      <c r="AJ583" s="1">
        <v>1.67</v>
      </c>
      <c r="AV583" s="1">
        <v>1.07</v>
      </c>
    </row>
    <row r="584" spans="1:48" x14ac:dyDescent="0.2">
      <c r="A584" s="1" t="s">
        <v>3940</v>
      </c>
      <c r="B584" s="1" t="s">
        <v>55</v>
      </c>
      <c r="C584" s="1" t="s">
        <v>3837</v>
      </c>
      <c r="E584" s="1">
        <v>34</v>
      </c>
      <c r="F584" s="1" t="s">
        <v>3941</v>
      </c>
      <c r="H584" s="1" t="s">
        <v>3942</v>
      </c>
      <c r="I584" s="1" t="s">
        <v>7</v>
      </c>
      <c r="J584" s="1" t="s">
        <v>3943</v>
      </c>
      <c r="K584" s="1" t="s">
        <v>3944</v>
      </c>
      <c r="L584" s="1" t="s">
        <v>3945</v>
      </c>
      <c r="Q584" s="1">
        <v>1976</v>
      </c>
      <c r="R584" s="1" t="s">
        <v>3767</v>
      </c>
      <c r="S584" s="1" t="s">
        <v>27</v>
      </c>
      <c r="T584" s="6">
        <v>1</v>
      </c>
      <c r="Z584" s="1">
        <v>79.599999999999994</v>
      </c>
      <c r="AE584" s="1">
        <v>18.7</v>
      </c>
      <c r="AJ584" s="1">
        <v>1.39</v>
      </c>
      <c r="AV584" s="1">
        <v>1.1499999999999999</v>
      </c>
    </row>
    <row r="585" spans="1:48" x14ac:dyDescent="0.2">
      <c r="A585" s="1" t="s">
        <v>3946</v>
      </c>
      <c r="B585" s="1" t="s">
        <v>55</v>
      </c>
      <c r="C585" s="1" t="s">
        <v>3947</v>
      </c>
      <c r="E585" s="1">
        <v>34</v>
      </c>
      <c r="F585" s="1" t="s">
        <v>3948</v>
      </c>
      <c r="H585" s="1" t="s">
        <v>3949</v>
      </c>
      <c r="I585" s="1" t="s">
        <v>7</v>
      </c>
      <c r="J585" s="1" t="s">
        <v>3950</v>
      </c>
      <c r="K585" s="1" t="s">
        <v>3951</v>
      </c>
      <c r="L585" s="1" t="s">
        <v>3950</v>
      </c>
      <c r="Q585" s="1">
        <v>1976</v>
      </c>
      <c r="R585" s="1" t="s">
        <v>3767</v>
      </c>
      <c r="S585" s="1" t="s">
        <v>27</v>
      </c>
      <c r="T585" s="6">
        <v>1</v>
      </c>
      <c r="Z585" s="1">
        <v>79.2</v>
      </c>
      <c r="AE585" s="1">
        <v>19</v>
      </c>
      <c r="AJ585" s="1">
        <v>1.43</v>
      </c>
      <c r="AV585" s="1">
        <v>1.1599999999999999</v>
      </c>
    </row>
    <row r="586" spans="1:48" x14ac:dyDescent="0.2">
      <c r="A586" s="1" t="s">
        <v>3952</v>
      </c>
      <c r="B586" s="1" t="s">
        <v>55</v>
      </c>
      <c r="C586" s="1" t="s">
        <v>3953</v>
      </c>
      <c r="E586" s="1">
        <v>34</v>
      </c>
      <c r="F586" s="1" t="s">
        <v>3954</v>
      </c>
      <c r="H586" s="1" t="s">
        <v>3955</v>
      </c>
      <c r="I586" s="1" t="s">
        <v>7</v>
      </c>
      <c r="J586" s="1" t="s">
        <v>3956</v>
      </c>
      <c r="K586" s="1" t="s">
        <v>3957</v>
      </c>
      <c r="L586" s="1" t="s">
        <v>3956</v>
      </c>
      <c r="Q586" s="1">
        <v>1976</v>
      </c>
      <c r="R586" s="1" t="s">
        <v>3767</v>
      </c>
      <c r="S586" s="1" t="s">
        <v>27</v>
      </c>
      <c r="T586" s="6">
        <v>1</v>
      </c>
      <c r="Z586" s="1">
        <v>81.400000000000006</v>
      </c>
      <c r="AE586" s="1">
        <v>17.2</v>
      </c>
      <c r="AJ586" s="1">
        <v>0.2</v>
      </c>
      <c r="AV586" s="1">
        <v>1.02</v>
      </c>
    </row>
    <row r="587" spans="1:48" x14ac:dyDescent="0.2">
      <c r="A587" s="1" t="s">
        <v>3958</v>
      </c>
      <c r="B587" s="1" t="s">
        <v>55</v>
      </c>
      <c r="C587" s="1" t="s">
        <v>3915</v>
      </c>
      <c r="E587" s="1">
        <v>34</v>
      </c>
      <c r="F587" s="1" t="s">
        <v>3959</v>
      </c>
      <c r="H587" s="1" t="s">
        <v>3960</v>
      </c>
      <c r="I587" s="1" t="s">
        <v>7</v>
      </c>
      <c r="J587" s="1" t="s">
        <v>3961</v>
      </c>
      <c r="K587" s="1" t="s">
        <v>3962</v>
      </c>
      <c r="L587" s="1" t="s">
        <v>3961</v>
      </c>
      <c r="Q587" s="1">
        <v>1976</v>
      </c>
      <c r="R587" s="1" t="s">
        <v>3767</v>
      </c>
      <c r="S587" s="1" t="s">
        <v>27</v>
      </c>
      <c r="T587" s="6">
        <v>1</v>
      </c>
      <c r="Z587" s="1">
        <v>79.099999999999994</v>
      </c>
      <c r="AE587" s="1">
        <v>19.3</v>
      </c>
      <c r="AJ587" s="1">
        <v>0.84</v>
      </c>
      <c r="AV587" s="1">
        <v>1.0900000000000001</v>
      </c>
    </row>
    <row r="588" spans="1:48" x14ac:dyDescent="0.2">
      <c r="A588" s="1" t="s">
        <v>3963</v>
      </c>
      <c r="B588" s="1" t="s">
        <v>55</v>
      </c>
      <c r="C588" s="1" t="s">
        <v>3791</v>
      </c>
      <c r="E588" s="1">
        <v>34</v>
      </c>
      <c r="F588" s="1" t="s">
        <v>3964</v>
      </c>
      <c r="H588" s="1" t="s">
        <v>3965</v>
      </c>
      <c r="I588" s="1" t="s">
        <v>7</v>
      </c>
      <c r="J588" s="1" t="s">
        <v>3966</v>
      </c>
      <c r="K588" s="1" t="s">
        <v>3967</v>
      </c>
      <c r="L588" s="1" t="s">
        <v>3966</v>
      </c>
      <c r="Q588" s="1">
        <v>1976</v>
      </c>
      <c r="R588" s="1" t="s">
        <v>3767</v>
      </c>
      <c r="S588" s="1" t="s">
        <v>27</v>
      </c>
      <c r="T588" s="6">
        <v>1</v>
      </c>
      <c r="Z588" s="1">
        <v>79.3</v>
      </c>
      <c r="AE588" s="1">
        <v>18.899999999999999</v>
      </c>
      <c r="AJ588" s="1">
        <v>1.56</v>
      </c>
      <c r="AV588" s="1">
        <v>1.19</v>
      </c>
    </row>
    <row r="589" spans="1:48" x14ac:dyDescent="0.2">
      <c r="A589" s="1" t="s">
        <v>3968</v>
      </c>
      <c r="B589" s="1" t="s">
        <v>55</v>
      </c>
      <c r="C589" s="1" t="s">
        <v>3761</v>
      </c>
      <c r="E589" s="1">
        <v>34</v>
      </c>
      <c r="F589" s="1" t="s">
        <v>3969</v>
      </c>
      <c r="H589" s="1" t="s">
        <v>3970</v>
      </c>
      <c r="I589" s="1" t="s">
        <v>7</v>
      </c>
      <c r="J589" s="1" t="s">
        <v>3971</v>
      </c>
      <c r="K589" s="1" t="s">
        <v>3972</v>
      </c>
      <c r="L589" s="1" t="s">
        <v>3971</v>
      </c>
      <c r="Q589" s="1">
        <v>1976</v>
      </c>
      <c r="R589" s="1" t="s">
        <v>3767</v>
      </c>
      <c r="S589" s="1" t="s">
        <v>27</v>
      </c>
      <c r="T589" s="6">
        <v>1</v>
      </c>
      <c r="Z589" s="1">
        <v>78.7</v>
      </c>
      <c r="AE589" s="1">
        <v>19.600000000000001</v>
      </c>
      <c r="AJ589" s="1">
        <v>1.6</v>
      </c>
      <c r="AV589" s="1">
        <v>1.1599999999999999</v>
      </c>
    </row>
    <row r="590" spans="1:48" x14ac:dyDescent="0.2">
      <c r="A590" s="1" t="s">
        <v>3973</v>
      </c>
      <c r="B590" s="1" t="s">
        <v>55</v>
      </c>
      <c r="C590" s="1" t="s">
        <v>3837</v>
      </c>
      <c r="E590" s="1">
        <v>34</v>
      </c>
      <c r="F590" s="1" t="s">
        <v>3974</v>
      </c>
      <c r="H590" s="1" t="s">
        <v>3975</v>
      </c>
      <c r="I590" s="1" t="s">
        <v>7</v>
      </c>
      <c r="J590" s="1" t="s">
        <v>3976</v>
      </c>
      <c r="K590" s="1" t="s">
        <v>3977</v>
      </c>
      <c r="L590" s="1" t="s">
        <v>3976</v>
      </c>
      <c r="Q590" s="1">
        <v>1976</v>
      </c>
      <c r="R590" s="1" t="s">
        <v>3767</v>
      </c>
      <c r="S590" s="1" t="s">
        <v>27</v>
      </c>
      <c r="T590" s="6">
        <v>1</v>
      </c>
      <c r="Z590" s="1">
        <v>70.7</v>
      </c>
      <c r="AE590" s="1">
        <v>13.8</v>
      </c>
      <c r="AJ590" s="1">
        <v>15.1</v>
      </c>
      <c r="AV590" s="1">
        <v>1.0900000000000001</v>
      </c>
    </row>
    <row r="591" spans="1:48" x14ac:dyDescent="0.2">
      <c r="A591" s="1" t="s">
        <v>3978</v>
      </c>
      <c r="B591" s="1" t="s">
        <v>55</v>
      </c>
      <c r="C591" s="1" t="s">
        <v>3979</v>
      </c>
      <c r="E591" s="1">
        <v>23</v>
      </c>
      <c r="F591" s="1" t="s">
        <v>3980</v>
      </c>
      <c r="H591" s="1" t="s">
        <v>3981</v>
      </c>
      <c r="I591" s="1" t="s">
        <v>7</v>
      </c>
      <c r="J591" s="1" t="s">
        <v>3982</v>
      </c>
      <c r="K591" s="1" t="s">
        <v>3983</v>
      </c>
      <c r="L591" s="1" t="s">
        <v>3982</v>
      </c>
      <c r="Q591" s="1">
        <v>1976</v>
      </c>
      <c r="R591" s="1" t="s">
        <v>3767</v>
      </c>
      <c r="S591" s="1" t="s">
        <v>27</v>
      </c>
      <c r="T591" s="6">
        <v>1</v>
      </c>
      <c r="Z591" s="1">
        <v>74.099999999999994</v>
      </c>
      <c r="AE591" s="1">
        <v>21.3</v>
      </c>
      <c r="AJ591" s="1">
        <v>3.86</v>
      </c>
      <c r="AV591" s="1">
        <v>1.18</v>
      </c>
    </row>
    <row r="592" spans="1:48" x14ac:dyDescent="0.2">
      <c r="A592" s="1" t="s">
        <v>3984</v>
      </c>
      <c r="B592" s="1" t="s">
        <v>55</v>
      </c>
      <c r="C592" s="1" t="s">
        <v>3857</v>
      </c>
      <c r="E592" s="1">
        <v>23</v>
      </c>
      <c r="F592" s="1" t="s">
        <v>1711</v>
      </c>
      <c r="H592" s="1" t="s">
        <v>3985</v>
      </c>
      <c r="I592" s="1" t="s">
        <v>7</v>
      </c>
      <c r="J592" s="1" t="s">
        <v>1713</v>
      </c>
      <c r="K592" s="1" t="s">
        <v>3986</v>
      </c>
      <c r="L592" s="1" t="s">
        <v>1713</v>
      </c>
      <c r="Q592" s="1">
        <v>1976</v>
      </c>
      <c r="R592" s="1" t="s">
        <v>3767</v>
      </c>
      <c r="S592" s="1" t="s">
        <v>27</v>
      </c>
      <c r="T592" s="6">
        <v>1</v>
      </c>
      <c r="Z592" s="1">
        <v>73.099999999999994</v>
      </c>
      <c r="AE592" s="1">
        <v>19.5</v>
      </c>
      <c r="AJ592" s="1">
        <v>11.5</v>
      </c>
      <c r="AV592" s="1">
        <v>1.28</v>
      </c>
    </row>
    <row r="593" spans="1:48" x14ac:dyDescent="0.2">
      <c r="A593" s="1" t="s">
        <v>3987</v>
      </c>
      <c r="B593" s="1" t="s">
        <v>55</v>
      </c>
      <c r="C593" s="1" t="s">
        <v>3953</v>
      </c>
      <c r="E593" s="1">
        <v>23</v>
      </c>
      <c r="F593" s="1" t="s">
        <v>3988</v>
      </c>
      <c r="H593" s="1" t="s">
        <v>3989</v>
      </c>
      <c r="I593" s="1" t="s">
        <v>7</v>
      </c>
      <c r="J593" s="1" t="s">
        <v>3990</v>
      </c>
      <c r="K593" s="1" t="s">
        <v>3991</v>
      </c>
      <c r="L593" s="1" t="s">
        <v>3990</v>
      </c>
      <c r="Q593" s="1">
        <v>1976</v>
      </c>
      <c r="R593" s="1" t="s">
        <v>3767</v>
      </c>
      <c r="S593" s="1" t="s">
        <v>27</v>
      </c>
      <c r="T593" s="6">
        <v>1</v>
      </c>
      <c r="Z593" s="1">
        <v>75.599999999999994</v>
      </c>
      <c r="AE593" s="1">
        <v>19</v>
      </c>
      <c r="AJ593" s="1">
        <v>4.76</v>
      </c>
      <c r="AV593" s="1">
        <v>1.2</v>
      </c>
    </row>
    <row r="594" spans="1:48" x14ac:dyDescent="0.2">
      <c r="A594" s="1" t="s">
        <v>3992</v>
      </c>
      <c r="B594" s="1" t="s">
        <v>55</v>
      </c>
      <c r="C594" s="1" t="s">
        <v>3993</v>
      </c>
      <c r="E594" s="1">
        <v>23</v>
      </c>
      <c r="F594" s="1" t="s">
        <v>2834</v>
      </c>
      <c r="H594" s="1" t="s">
        <v>3994</v>
      </c>
      <c r="I594" s="1" t="s">
        <v>7</v>
      </c>
      <c r="J594" s="1" t="s">
        <v>2836</v>
      </c>
      <c r="K594" s="1" t="s">
        <v>2837</v>
      </c>
      <c r="L594" s="1" t="s">
        <v>2836</v>
      </c>
      <c r="Q594" s="1">
        <v>1976</v>
      </c>
      <c r="R594" s="1" t="s">
        <v>3767</v>
      </c>
      <c r="S594" s="1" t="s">
        <v>27</v>
      </c>
      <c r="T594" s="6">
        <v>1</v>
      </c>
      <c r="Z594" s="1">
        <v>72.599999999999994</v>
      </c>
      <c r="AE594" s="1">
        <v>21.7</v>
      </c>
      <c r="AJ594" s="1">
        <v>5.31</v>
      </c>
      <c r="AV594" s="1">
        <v>1.21</v>
      </c>
    </row>
    <row r="595" spans="1:48" x14ac:dyDescent="0.2">
      <c r="A595" s="1" t="s">
        <v>3995</v>
      </c>
      <c r="B595" s="1" t="s">
        <v>55</v>
      </c>
      <c r="C595" s="1" t="s">
        <v>3996</v>
      </c>
      <c r="E595" s="1">
        <v>23</v>
      </c>
      <c r="F595" s="1" t="s">
        <v>3997</v>
      </c>
      <c r="H595" s="1" t="s">
        <v>3998</v>
      </c>
      <c r="I595" s="1" t="s">
        <v>7</v>
      </c>
      <c r="J595" s="1" t="s">
        <v>3999</v>
      </c>
      <c r="K595" s="1" t="s">
        <v>4000</v>
      </c>
      <c r="L595" s="1" t="s">
        <v>3999</v>
      </c>
      <c r="Q595" s="1">
        <v>1976</v>
      </c>
      <c r="R595" s="1" t="s">
        <v>3767</v>
      </c>
      <c r="S595" s="1" t="s">
        <v>27</v>
      </c>
      <c r="T595" s="6">
        <v>1</v>
      </c>
      <c r="Z595" s="1">
        <v>70</v>
      </c>
      <c r="AE595" s="1">
        <v>21.3</v>
      </c>
      <c r="AJ595" s="1">
        <v>8.5500000000000007</v>
      </c>
      <c r="AV595" s="1">
        <v>1.18</v>
      </c>
    </row>
    <row r="596" spans="1:48" x14ac:dyDescent="0.2">
      <c r="A596" s="1" t="s">
        <v>4001</v>
      </c>
      <c r="B596" s="1" t="s">
        <v>55</v>
      </c>
      <c r="C596" s="1" t="s">
        <v>3857</v>
      </c>
      <c r="E596" s="1">
        <v>24</v>
      </c>
      <c r="F596" s="1" t="s">
        <v>4002</v>
      </c>
      <c r="H596" s="1" t="s">
        <v>4003</v>
      </c>
      <c r="I596" s="1" t="s">
        <v>7</v>
      </c>
      <c r="J596" s="1" t="s">
        <v>4004</v>
      </c>
      <c r="K596" s="1" t="s">
        <v>4005</v>
      </c>
      <c r="L596" s="1" t="s">
        <v>4004</v>
      </c>
      <c r="Q596" s="1">
        <v>1976</v>
      </c>
      <c r="R596" s="1" t="s">
        <v>3767</v>
      </c>
      <c r="S596" s="1" t="s">
        <v>27</v>
      </c>
      <c r="T596" s="6">
        <v>1</v>
      </c>
      <c r="Z596" s="1">
        <v>71.400000000000006</v>
      </c>
      <c r="AE596" s="1">
        <v>18.8</v>
      </c>
      <c r="AJ596" s="1">
        <v>7.9</v>
      </c>
      <c r="AV596" s="1">
        <v>1.48</v>
      </c>
    </row>
    <row r="597" spans="1:48" x14ac:dyDescent="0.2">
      <c r="A597" s="1" t="s">
        <v>4006</v>
      </c>
      <c r="B597" s="1" t="s">
        <v>1912</v>
      </c>
      <c r="C597" s="1" t="s">
        <v>3953</v>
      </c>
      <c r="E597" s="1">
        <v>45</v>
      </c>
      <c r="F597" s="1" t="s">
        <v>4007</v>
      </c>
      <c r="H597" s="1" t="s">
        <v>4008</v>
      </c>
      <c r="I597" s="1" t="s">
        <v>7</v>
      </c>
      <c r="J597" s="1" t="s">
        <v>4009</v>
      </c>
      <c r="K597" s="1" t="s">
        <v>4010</v>
      </c>
      <c r="L597" s="1" t="s">
        <v>4009</v>
      </c>
      <c r="Q597" s="1">
        <v>1976</v>
      </c>
      <c r="R597" s="1" t="s">
        <v>3767</v>
      </c>
      <c r="S597" s="1" t="s">
        <v>27</v>
      </c>
      <c r="T597" s="6">
        <v>1</v>
      </c>
      <c r="Z597" s="1">
        <v>80.099999999999994</v>
      </c>
      <c r="AE597" s="1">
        <v>18.100000000000001</v>
      </c>
      <c r="AJ597" s="1">
        <v>0.95</v>
      </c>
      <c r="AV597" s="1">
        <v>1.25</v>
      </c>
    </row>
    <row r="598" spans="1:48" x14ac:dyDescent="0.2">
      <c r="A598" s="1" t="s">
        <v>4011</v>
      </c>
      <c r="B598" s="1" t="s">
        <v>55</v>
      </c>
      <c r="C598" s="1" t="s">
        <v>1030</v>
      </c>
      <c r="E598" s="1">
        <v>38</v>
      </c>
      <c r="F598" s="1" t="s">
        <v>1877</v>
      </c>
      <c r="H598" s="1" t="s">
        <v>4012</v>
      </c>
      <c r="I598" s="1" t="s">
        <v>7</v>
      </c>
      <c r="J598" s="1" t="s">
        <v>4013</v>
      </c>
      <c r="K598" s="1" t="s">
        <v>1880</v>
      </c>
      <c r="L598" s="1" t="s">
        <v>1881</v>
      </c>
      <c r="Q598" s="1">
        <v>1976</v>
      </c>
      <c r="R598" s="1" t="s">
        <v>3767</v>
      </c>
      <c r="S598" s="1" t="s">
        <v>27</v>
      </c>
      <c r="T598" s="6">
        <v>1</v>
      </c>
      <c r="Z598" s="1">
        <v>81.8</v>
      </c>
      <c r="AE598" s="1">
        <v>16.3</v>
      </c>
      <c r="AJ598" s="1">
        <v>6.05</v>
      </c>
      <c r="AV598" s="1">
        <v>1.68</v>
      </c>
    </row>
    <row r="599" spans="1:48" x14ac:dyDescent="0.2">
      <c r="A599" s="1" t="s">
        <v>4014</v>
      </c>
      <c r="B599" s="1" t="s">
        <v>55</v>
      </c>
      <c r="C599" s="1" t="s">
        <v>3797</v>
      </c>
      <c r="E599" s="1">
        <v>31</v>
      </c>
      <c r="F599" s="1" t="s">
        <v>4015</v>
      </c>
      <c r="H599" s="1" t="s">
        <v>4016</v>
      </c>
      <c r="I599" s="1" t="s">
        <v>7</v>
      </c>
      <c r="J599" s="1" t="s">
        <v>4017</v>
      </c>
      <c r="K599" s="1" t="s">
        <v>4018</v>
      </c>
      <c r="L599" s="1" t="s">
        <v>4017</v>
      </c>
      <c r="Q599" s="1">
        <v>1976</v>
      </c>
      <c r="R599" s="1" t="s">
        <v>3767</v>
      </c>
      <c r="S599" s="1" t="s">
        <v>27</v>
      </c>
      <c r="T599" s="6">
        <v>1</v>
      </c>
      <c r="Z599" s="1">
        <v>85.4</v>
      </c>
      <c r="AE599" s="1">
        <v>16.8</v>
      </c>
      <c r="AJ599" s="1">
        <v>0.95</v>
      </c>
      <c r="AV599" s="1">
        <v>1.1100000000000001</v>
      </c>
    </row>
    <row r="600" spans="1:48" x14ac:dyDescent="0.2">
      <c r="A600" s="1" t="s">
        <v>4019</v>
      </c>
      <c r="B600" s="1" t="s">
        <v>55</v>
      </c>
      <c r="C600" s="1" t="s">
        <v>4020</v>
      </c>
      <c r="E600" s="1">
        <v>31</v>
      </c>
      <c r="F600" s="1" t="s">
        <v>4021</v>
      </c>
      <c r="H600" s="1" t="s">
        <v>4022</v>
      </c>
      <c r="I600" s="1" t="s">
        <v>7</v>
      </c>
      <c r="J600" s="1" t="s">
        <v>4023</v>
      </c>
      <c r="K600" s="1" t="s">
        <v>4024</v>
      </c>
      <c r="L600" s="1" t="s">
        <v>4025</v>
      </c>
      <c r="Q600" s="1">
        <v>1976</v>
      </c>
      <c r="R600" s="1" t="s">
        <v>3767</v>
      </c>
      <c r="S600" s="1" t="s">
        <v>27</v>
      </c>
      <c r="T600" s="6">
        <v>1</v>
      </c>
      <c r="Z600" s="1">
        <v>81.400000000000006</v>
      </c>
      <c r="AE600" s="1">
        <v>16.8</v>
      </c>
      <c r="AJ600" s="1">
        <v>1.36</v>
      </c>
      <c r="AV600" s="1">
        <v>1.1200000000000001</v>
      </c>
    </row>
    <row r="601" spans="1:48" x14ac:dyDescent="0.2">
      <c r="A601" s="1" t="s">
        <v>4026</v>
      </c>
      <c r="B601" s="1" t="s">
        <v>55</v>
      </c>
      <c r="C601" s="1" t="s">
        <v>4020</v>
      </c>
      <c r="E601" s="1">
        <v>31</v>
      </c>
      <c r="F601" s="1" t="s">
        <v>4027</v>
      </c>
      <c r="H601" s="1" t="s">
        <v>4028</v>
      </c>
      <c r="I601" s="1" t="s">
        <v>7</v>
      </c>
      <c r="J601" s="1" t="s">
        <v>4029</v>
      </c>
      <c r="K601" s="1" t="s">
        <v>4030</v>
      </c>
      <c r="L601" s="1" t="s">
        <v>4029</v>
      </c>
      <c r="Q601" s="1">
        <v>1976</v>
      </c>
      <c r="R601" s="1" t="s">
        <v>3767</v>
      </c>
      <c r="S601" s="1" t="s">
        <v>27</v>
      </c>
      <c r="T601" s="6">
        <v>1</v>
      </c>
      <c r="Z601" s="1">
        <v>81</v>
      </c>
      <c r="AE601" s="1">
        <v>19.2</v>
      </c>
      <c r="AJ601" s="1">
        <v>1.1000000000000001</v>
      </c>
      <c r="AV601" s="1">
        <v>1.1299999999999999</v>
      </c>
    </row>
    <row r="602" spans="1:48" x14ac:dyDescent="0.2">
      <c r="A602" s="1" t="s">
        <v>4031</v>
      </c>
      <c r="B602" s="1" t="s">
        <v>55</v>
      </c>
      <c r="C602" s="1" t="s">
        <v>4032</v>
      </c>
      <c r="E602" s="1">
        <v>31</v>
      </c>
      <c r="F602" s="1" t="s">
        <v>4033</v>
      </c>
      <c r="H602" s="1" t="s">
        <v>4034</v>
      </c>
      <c r="I602" s="1" t="s">
        <v>7</v>
      </c>
      <c r="J602" s="1" t="s">
        <v>4035</v>
      </c>
      <c r="K602" s="1" t="s">
        <v>4036</v>
      </c>
      <c r="L602" s="1" t="s">
        <v>4035</v>
      </c>
      <c r="Q602" s="1">
        <v>1976</v>
      </c>
      <c r="R602" s="1" t="s">
        <v>3767</v>
      </c>
      <c r="S602" s="1" t="s">
        <v>27</v>
      </c>
      <c r="T602" s="6">
        <v>1</v>
      </c>
      <c r="Z602" s="1">
        <v>80</v>
      </c>
      <c r="AE602" s="1">
        <v>17.600000000000001</v>
      </c>
      <c r="AJ602" s="1">
        <v>0.8</v>
      </c>
      <c r="AV602" s="1">
        <v>1.19</v>
      </c>
    </row>
    <row r="603" spans="1:48" x14ac:dyDescent="0.2">
      <c r="A603" s="1" t="s">
        <v>4037</v>
      </c>
      <c r="B603" s="1" t="s">
        <v>55</v>
      </c>
      <c r="C603" s="1" t="s">
        <v>3791</v>
      </c>
      <c r="E603" s="1">
        <v>31</v>
      </c>
      <c r="F603" s="1" t="s">
        <v>4038</v>
      </c>
      <c r="H603" s="1" t="s">
        <v>4039</v>
      </c>
      <c r="I603" s="1" t="s">
        <v>7</v>
      </c>
      <c r="J603" s="1" t="s">
        <v>4040</v>
      </c>
      <c r="K603" s="1" t="s">
        <v>4041</v>
      </c>
      <c r="L603" s="1" t="s">
        <v>4042</v>
      </c>
      <c r="Q603" s="1">
        <v>1976</v>
      </c>
      <c r="R603" s="1" t="s">
        <v>3767</v>
      </c>
      <c r="S603" s="1" t="s">
        <v>27</v>
      </c>
      <c r="T603" s="6">
        <v>1</v>
      </c>
      <c r="Z603" s="1">
        <v>82.3</v>
      </c>
      <c r="AE603" s="1">
        <v>16.7</v>
      </c>
      <c r="AJ603" s="1">
        <v>0.71</v>
      </c>
      <c r="AV603" s="1">
        <v>1.1000000000000001</v>
      </c>
    </row>
    <row r="604" spans="1:48" x14ac:dyDescent="0.2">
      <c r="A604" s="1" t="s">
        <v>4043</v>
      </c>
      <c r="B604" s="1" t="s">
        <v>55</v>
      </c>
      <c r="C604" s="1" t="s">
        <v>4044</v>
      </c>
      <c r="E604" s="1">
        <v>31</v>
      </c>
      <c r="F604" s="1" t="s">
        <v>4045</v>
      </c>
      <c r="H604" s="1" t="s">
        <v>4046</v>
      </c>
      <c r="I604" s="1" t="s">
        <v>7</v>
      </c>
      <c r="J604" s="1" t="s">
        <v>4047</v>
      </c>
      <c r="K604" s="1" t="s">
        <v>4048</v>
      </c>
      <c r="L604" s="1" t="s">
        <v>4047</v>
      </c>
      <c r="Q604" s="1">
        <v>1976</v>
      </c>
      <c r="R604" s="1" t="s">
        <v>3767</v>
      </c>
      <c r="S604" s="1" t="s">
        <v>27</v>
      </c>
      <c r="T604" s="6">
        <v>1</v>
      </c>
      <c r="Z604" s="1">
        <v>80.7</v>
      </c>
      <c r="AE604" s="1">
        <v>19.2</v>
      </c>
      <c r="AJ604" s="1">
        <v>0.77</v>
      </c>
      <c r="AV604" s="1">
        <v>1.1499999999999999</v>
      </c>
    </row>
    <row r="605" spans="1:48" x14ac:dyDescent="0.2">
      <c r="A605" s="1" t="s">
        <v>4049</v>
      </c>
      <c r="B605" s="1" t="s">
        <v>55</v>
      </c>
      <c r="C605" s="1" t="s">
        <v>3979</v>
      </c>
      <c r="E605" s="1">
        <v>31</v>
      </c>
      <c r="F605" s="1" t="s">
        <v>4050</v>
      </c>
      <c r="H605" s="1" t="s">
        <v>4051</v>
      </c>
      <c r="I605" s="1" t="s">
        <v>7</v>
      </c>
      <c r="J605" s="1" t="s">
        <v>4052</v>
      </c>
      <c r="K605" s="1" t="s">
        <v>4053</v>
      </c>
      <c r="L605" s="1" t="s">
        <v>4052</v>
      </c>
      <c r="Q605" s="1">
        <v>1976</v>
      </c>
      <c r="R605" s="1" t="s">
        <v>3767</v>
      </c>
      <c r="S605" s="1" t="s">
        <v>27</v>
      </c>
      <c r="T605" s="6">
        <v>1</v>
      </c>
      <c r="Z605" s="1">
        <v>83.4</v>
      </c>
      <c r="AE605" s="1">
        <v>16.100000000000001</v>
      </c>
      <c r="AJ605" s="1">
        <v>0.44</v>
      </c>
      <c r="AV605" s="1">
        <v>1.07</v>
      </c>
    </row>
    <row r="606" spans="1:48" x14ac:dyDescent="0.2">
      <c r="A606" s="1" t="s">
        <v>4054</v>
      </c>
      <c r="B606" s="1" t="s">
        <v>55</v>
      </c>
      <c r="C606" s="1" t="s">
        <v>4055</v>
      </c>
      <c r="E606" s="1">
        <v>31</v>
      </c>
      <c r="F606" s="1" t="s">
        <v>4056</v>
      </c>
      <c r="H606" s="1" t="s">
        <v>4057</v>
      </c>
      <c r="I606" s="1" t="s">
        <v>7</v>
      </c>
      <c r="J606" s="1" t="s">
        <v>4058</v>
      </c>
      <c r="K606" s="1" t="s">
        <v>4059</v>
      </c>
      <c r="L606" s="1" t="s">
        <v>4058</v>
      </c>
      <c r="Q606" s="1">
        <v>1976</v>
      </c>
      <c r="R606" s="1" t="s">
        <v>3767</v>
      </c>
      <c r="S606" s="1" t="s">
        <v>27</v>
      </c>
      <c r="T606" s="6">
        <v>1</v>
      </c>
      <c r="Z606" s="1">
        <v>82.66</v>
      </c>
      <c r="AE606" s="1">
        <v>17</v>
      </c>
      <c r="AJ606" s="1">
        <v>1.25</v>
      </c>
      <c r="AV606" s="1">
        <v>1.46</v>
      </c>
    </row>
    <row r="607" spans="1:48" x14ac:dyDescent="0.2">
      <c r="A607" s="1" t="s">
        <v>4060</v>
      </c>
      <c r="B607" s="1" t="s">
        <v>57</v>
      </c>
      <c r="C607" s="1" t="s">
        <v>3761</v>
      </c>
      <c r="E607" s="1">
        <v>76</v>
      </c>
      <c r="F607" s="1" t="s">
        <v>4061</v>
      </c>
      <c r="H607" s="1" t="s">
        <v>4062</v>
      </c>
      <c r="I607" s="1" t="s">
        <v>7</v>
      </c>
      <c r="J607" s="1" t="s">
        <v>4063</v>
      </c>
      <c r="K607" s="1" t="s">
        <v>4064</v>
      </c>
      <c r="L607" s="1" t="s">
        <v>4065</v>
      </c>
      <c r="Q607" s="1">
        <v>1976</v>
      </c>
      <c r="R607" s="1" t="s">
        <v>3767</v>
      </c>
      <c r="S607" s="1" t="s">
        <v>27</v>
      </c>
      <c r="T607" s="6">
        <v>1</v>
      </c>
      <c r="Z607" s="1">
        <v>70.599999999999994</v>
      </c>
      <c r="AE607" s="1">
        <v>11.8</v>
      </c>
      <c r="AJ607" s="1">
        <v>1.2</v>
      </c>
      <c r="AV607" s="1">
        <v>15.9</v>
      </c>
    </row>
    <row r="608" spans="1:48" x14ac:dyDescent="0.2">
      <c r="A608" s="1" t="s">
        <v>4066</v>
      </c>
      <c r="B608" s="1" t="s">
        <v>57</v>
      </c>
      <c r="C608" s="1" t="s">
        <v>3761</v>
      </c>
      <c r="E608" s="1">
        <v>76</v>
      </c>
      <c r="F608" s="1" t="s">
        <v>4061</v>
      </c>
      <c r="H608" s="1" t="s">
        <v>4067</v>
      </c>
      <c r="I608" s="1" t="s">
        <v>7</v>
      </c>
      <c r="J608" s="1" t="s">
        <v>4068</v>
      </c>
      <c r="K608" s="1" t="s">
        <v>4064</v>
      </c>
      <c r="L608" s="1" t="s">
        <v>4065</v>
      </c>
      <c r="Q608" s="1">
        <v>1976</v>
      </c>
      <c r="R608" s="1" t="s">
        <v>3767</v>
      </c>
      <c r="S608" s="1" t="s">
        <v>27</v>
      </c>
      <c r="T608" s="6">
        <v>1</v>
      </c>
      <c r="Z608" s="1">
        <v>71.400000000000006</v>
      </c>
      <c r="AE608" s="1">
        <v>10</v>
      </c>
      <c r="AJ608" s="1">
        <v>1.5</v>
      </c>
      <c r="AV608" s="1">
        <v>16.600000000000001</v>
      </c>
    </row>
    <row r="609" spans="1:155" x14ac:dyDescent="0.2">
      <c r="A609" s="1" t="s">
        <v>4069</v>
      </c>
      <c r="B609" s="1" t="s">
        <v>57</v>
      </c>
      <c r="C609" s="1" t="s">
        <v>3761</v>
      </c>
      <c r="E609" s="1">
        <v>76</v>
      </c>
      <c r="F609" s="1" t="s">
        <v>4061</v>
      </c>
      <c r="H609" s="1" t="s">
        <v>4070</v>
      </c>
      <c r="I609" s="1" t="s">
        <v>7</v>
      </c>
      <c r="J609" s="1" t="s">
        <v>4071</v>
      </c>
      <c r="K609" s="1" t="s">
        <v>4064</v>
      </c>
      <c r="L609" s="1" t="s">
        <v>4065</v>
      </c>
      <c r="Q609" s="1">
        <v>1976</v>
      </c>
      <c r="R609" s="1" t="s">
        <v>3767</v>
      </c>
      <c r="S609" s="1" t="s">
        <v>27</v>
      </c>
      <c r="T609" s="6">
        <v>1</v>
      </c>
      <c r="Z609" s="1">
        <v>87.6</v>
      </c>
      <c r="AE609" s="1">
        <v>5.7</v>
      </c>
      <c r="AJ609" s="1">
        <v>0.7</v>
      </c>
      <c r="AV609" s="1">
        <v>5</v>
      </c>
    </row>
    <row r="610" spans="1:155" x14ac:dyDescent="0.2">
      <c r="A610" s="1" t="s">
        <v>4072</v>
      </c>
      <c r="B610" s="1" t="s">
        <v>55</v>
      </c>
      <c r="C610" s="1" t="s">
        <v>4073</v>
      </c>
      <c r="E610" s="1">
        <v>23</v>
      </c>
      <c r="F610" s="1" t="s">
        <v>4074</v>
      </c>
      <c r="H610" s="1" t="s">
        <v>4075</v>
      </c>
      <c r="I610" s="1" t="s">
        <v>7</v>
      </c>
      <c r="J610" s="1" t="s">
        <v>4076</v>
      </c>
      <c r="K610" s="1" t="s">
        <v>4077</v>
      </c>
      <c r="L610" s="1" t="s">
        <v>4076</v>
      </c>
      <c r="Q610" s="1">
        <v>1976</v>
      </c>
      <c r="R610" s="1" t="s">
        <v>3767</v>
      </c>
      <c r="S610" s="1" t="s">
        <v>27</v>
      </c>
      <c r="T610" s="6">
        <v>1</v>
      </c>
      <c r="Z610" s="1">
        <v>78.2</v>
      </c>
      <c r="AE610" s="1">
        <v>19.899999999999999</v>
      </c>
      <c r="AJ610" s="1">
        <v>1.8</v>
      </c>
      <c r="AV610" s="1">
        <v>1.4</v>
      </c>
    </row>
    <row r="611" spans="1:155" x14ac:dyDescent="0.2">
      <c r="A611" s="1" t="s">
        <v>4078</v>
      </c>
      <c r="B611" s="1" t="s">
        <v>55</v>
      </c>
      <c r="C611" s="1" t="s">
        <v>4079</v>
      </c>
      <c r="E611" s="1">
        <v>23</v>
      </c>
      <c r="F611" s="1" t="s">
        <v>4080</v>
      </c>
      <c r="H611" s="1" t="s">
        <v>4081</v>
      </c>
      <c r="I611" s="1" t="s">
        <v>7</v>
      </c>
      <c r="J611" s="1" t="s">
        <v>4082</v>
      </c>
      <c r="K611" s="1" t="s">
        <v>4083</v>
      </c>
      <c r="L611" s="1" t="s">
        <v>4082</v>
      </c>
      <c r="Q611" s="1">
        <v>1976</v>
      </c>
      <c r="R611" s="1" t="s">
        <v>3767</v>
      </c>
      <c r="S611" s="1" t="s">
        <v>27</v>
      </c>
      <c r="T611" s="6">
        <v>1</v>
      </c>
      <c r="Z611" s="1">
        <v>74.099999999999994</v>
      </c>
      <c r="AE611" s="1">
        <v>19.8</v>
      </c>
      <c r="AJ611" s="1">
        <v>5.4</v>
      </c>
      <c r="AV611" s="1">
        <v>1.2</v>
      </c>
    </row>
    <row r="612" spans="1:155" x14ac:dyDescent="0.2">
      <c r="A612" s="1" t="s">
        <v>4084</v>
      </c>
      <c r="B612" s="1" t="s">
        <v>55</v>
      </c>
      <c r="C612" s="1" t="s">
        <v>3761</v>
      </c>
      <c r="E612" s="1">
        <v>23</v>
      </c>
      <c r="F612" s="1" t="s">
        <v>1472</v>
      </c>
      <c r="H612" s="1" t="s">
        <v>4085</v>
      </c>
      <c r="I612" s="1" t="s">
        <v>7</v>
      </c>
      <c r="J612" s="1" t="s">
        <v>2845</v>
      </c>
      <c r="K612" s="1" t="s">
        <v>1475</v>
      </c>
      <c r="L612" s="1" t="s">
        <v>1474</v>
      </c>
      <c r="Q612" s="1">
        <v>1976</v>
      </c>
      <c r="R612" s="1" t="s">
        <v>3767</v>
      </c>
      <c r="S612" s="1" t="s">
        <v>27</v>
      </c>
      <c r="T612" s="6">
        <v>1</v>
      </c>
      <c r="Z612" s="1">
        <v>68.900000000000006</v>
      </c>
      <c r="AE612" s="1">
        <v>21.1</v>
      </c>
      <c r="AJ612" s="1">
        <v>9.02</v>
      </c>
      <c r="AV612" s="1">
        <v>1.31</v>
      </c>
    </row>
    <row r="613" spans="1:155" x14ac:dyDescent="0.2">
      <c r="A613" s="1" t="s">
        <v>4086</v>
      </c>
      <c r="B613" s="1" t="s">
        <v>55</v>
      </c>
      <c r="C613" s="1" t="s">
        <v>3791</v>
      </c>
      <c r="E613" s="1">
        <v>36</v>
      </c>
      <c r="F613" s="1" t="s">
        <v>3094</v>
      </c>
      <c r="H613" s="1" t="s">
        <v>4087</v>
      </c>
      <c r="I613" s="1" t="s">
        <v>7</v>
      </c>
      <c r="J613" s="1" t="s">
        <v>3097</v>
      </c>
      <c r="K613" s="1" t="s">
        <v>3098</v>
      </c>
      <c r="L613" s="1" t="s">
        <v>3097</v>
      </c>
      <c r="Q613" s="1">
        <v>1976</v>
      </c>
      <c r="R613" s="1" t="s">
        <v>3767</v>
      </c>
      <c r="S613" s="1" t="s">
        <v>27</v>
      </c>
      <c r="T613" s="6">
        <v>1</v>
      </c>
      <c r="Z613" s="1">
        <v>64.900000000000006</v>
      </c>
      <c r="AE613" s="1">
        <v>25</v>
      </c>
      <c r="AJ613" s="1">
        <v>10.3</v>
      </c>
      <c r="AV613" s="1">
        <v>1.26</v>
      </c>
    </row>
    <row r="614" spans="1:155" x14ac:dyDescent="0.2">
      <c r="A614" s="1" t="s">
        <v>4088</v>
      </c>
      <c r="B614" s="1" t="s">
        <v>55</v>
      </c>
      <c r="C614" s="1" t="s">
        <v>3791</v>
      </c>
      <c r="E614" s="1">
        <v>36</v>
      </c>
      <c r="F614" s="1" t="s">
        <v>3094</v>
      </c>
      <c r="H614" s="1" t="s">
        <v>4089</v>
      </c>
      <c r="I614" s="1" t="s">
        <v>7</v>
      </c>
      <c r="J614" s="1" t="s">
        <v>3097</v>
      </c>
      <c r="K614" s="1" t="s">
        <v>3098</v>
      </c>
      <c r="L614" s="1" t="s">
        <v>3097</v>
      </c>
      <c r="Q614" s="1">
        <v>1976</v>
      </c>
      <c r="R614" s="1" t="s">
        <v>3767</v>
      </c>
      <c r="S614" s="1" t="s">
        <v>27</v>
      </c>
      <c r="T614" s="6">
        <v>1</v>
      </c>
      <c r="Z614" s="1">
        <v>68.599999999999994</v>
      </c>
      <c r="AE614" s="1">
        <v>22.8</v>
      </c>
      <c r="AJ614" s="1">
        <v>8.25</v>
      </c>
      <c r="AV614" s="1">
        <v>1.18</v>
      </c>
    </row>
    <row r="615" spans="1:155" x14ac:dyDescent="0.2">
      <c r="A615" s="1" t="s">
        <v>4090</v>
      </c>
      <c r="B615" s="1" t="s">
        <v>55</v>
      </c>
      <c r="C615" s="1" t="s">
        <v>4091</v>
      </c>
      <c r="E615" s="1">
        <v>33</v>
      </c>
      <c r="F615" s="1" t="s">
        <v>4092</v>
      </c>
      <c r="G615" s="1" t="s">
        <v>4093</v>
      </c>
      <c r="H615" s="1" t="s">
        <v>4094</v>
      </c>
      <c r="I615" s="1" t="s">
        <v>7</v>
      </c>
      <c r="J615" s="1" t="s">
        <v>4095</v>
      </c>
      <c r="K615" s="1" t="s">
        <v>4096</v>
      </c>
      <c r="L615" s="1" t="s">
        <v>4095</v>
      </c>
      <c r="M615" s="1" t="s">
        <v>4097</v>
      </c>
      <c r="P615" s="1" t="s">
        <v>4098</v>
      </c>
      <c r="Q615" s="1">
        <v>2008</v>
      </c>
      <c r="R615" s="1" t="s">
        <v>4099</v>
      </c>
      <c r="S615" s="1" t="s">
        <v>27</v>
      </c>
      <c r="T615" s="6">
        <v>1</v>
      </c>
      <c r="Z615" s="1">
        <v>80.7</v>
      </c>
      <c r="AA615" s="1">
        <v>6.25</v>
      </c>
      <c r="AC615" s="1">
        <v>18.399999999999999</v>
      </c>
      <c r="AH615" s="1">
        <v>1</v>
      </c>
      <c r="AQ615" s="1">
        <v>0.5</v>
      </c>
      <c r="AV615" s="1">
        <v>0.7</v>
      </c>
      <c r="EY615" s="1">
        <v>33.5</v>
      </c>
    </row>
    <row r="616" spans="1:155" x14ac:dyDescent="0.2">
      <c r="A616" s="1" t="s">
        <v>4100</v>
      </c>
      <c r="B616" s="1" t="s">
        <v>55</v>
      </c>
      <c r="C616" s="1" t="s">
        <v>4091</v>
      </c>
      <c r="E616" s="1">
        <v>12</v>
      </c>
      <c r="F616" s="1" t="s">
        <v>1374</v>
      </c>
      <c r="G616" s="1" t="s">
        <v>4101</v>
      </c>
      <c r="H616" s="1" t="s">
        <v>4102</v>
      </c>
      <c r="I616" s="1" t="s">
        <v>7</v>
      </c>
      <c r="J616" s="1" t="s">
        <v>1376</v>
      </c>
      <c r="K616" s="1" t="s">
        <v>1377</v>
      </c>
      <c r="L616" s="1" t="s">
        <v>1376</v>
      </c>
      <c r="M616" s="1" t="s">
        <v>4097</v>
      </c>
      <c r="P616" s="1" t="s">
        <v>4098</v>
      </c>
      <c r="Q616" s="1">
        <v>2008</v>
      </c>
      <c r="R616" s="1" t="s">
        <v>4099</v>
      </c>
      <c r="S616" s="1" t="s">
        <v>27</v>
      </c>
      <c r="T616" s="6">
        <v>1</v>
      </c>
      <c r="Z616" s="1">
        <v>80.2</v>
      </c>
      <c r="AA616" s="1">
        <v>6.25</v>
      </c>
      <c r="AC616" s="1">
        <v>17.7</v>
      </c>
      <c r="AH616" s="1">
        <v>1.2</v>
      </c>
      <c r="AQ616" s="1">
        <v>0.6</v>
      </c>
      <c r="AV616" s="1">
        <v>0.8</v>
      </c>
      <c r="EY616" s="1">
        <v>28.4</v>
      </c>
    </row>
    <row r="617" spans="1:155" x14ac:dyDescent="0.2">
      <c r="A617" s="1" t="s">
        <v>4103</v>
      </c>
      <c r="B617" s="1" t="s">
        <v>55</v>
      </c>
      <c r="C617" s="1" t="s">
        <v>4091</v>
      </c>
      <c r="E617" s="1">
        <v>13</v>
      </c>
      <c r="F617" s="1" t="s">
        <v>4104</v>
      </c>
      <c r="G617" s="1" t="s">
        <v>4105</v>
      </c>
      <c r="H617" s="1" t="s">
        <v>4106</v>
      </c>
      <c r="I617" s="1" t="s">
        <v>7</v>
      </c>
      <c r="J617" s="1" t="s">
        <v>4107</v>
      </c>
      <c r="K617" s="1" t="s">
        <v>4108</v>
      </c>
      <c r="L617" s="1" t="s">
        <v>4109</v>
      </c>
      <c r="M617" s="1" t="s">
        <v>4097</v>
      </c>
      <c r="P617" s="1" t="s">
        <v>4098</v>
      </c>
      <c r="Q617" s="1">
        <v>2008</v>
      </c>
      <c r="R617" s="1" t="s">
        <v>4099</v>
      </c>
      <c r="S617" s="1" t="s">
        <v>27</v>
      </c>
      <c r="T617" s="6">
        <v>1</v>
      </c>
      <c r="Z617" s="1">
        <v>76.400000000000006</v>
      </c>
      <c r="AA617" s="1">
        <v>6.25</v>
      </c>
      <c r="AC617" s="1">
        <v>18.7</v>
      </c>
      <c r="AH617" s="1">
        <v>3.2</v>
      </c>
      <c r="AQ617" s="1">
        <v>2</v>
      </c>
      <c r="AV617" s="1">
        <v>0.8</v>
      </c>
      <c r="EY617" s="1">
        <v>93.8</v>
      </c>
    </row>
    <row r="618" spans="1:155" x14ac:dyDescent="0.2">
      <c r="A618" s="1" t="s">
        <v>4110</v>
      </c>
      <c r="B618" s="1" t="s">
        <v>55</v>
      </c>
      <c r="C618" s="1" t="s">
        <v>4091</v>
      </c>
      <c r="E618" s="1">
        <v>13</v>
      </c>
      <c r="F618" s="1" t="s">
        <v>4111</v>
      </c>
      <c r="G618" s="1" t="s">
        <v>4112</v>
      </c>
      <c r="H618" s="1" t="s">
        <v>4113</v>
      </c>
      <c r="I618" s="1" t="s">
        <v>7</v>
      </c>
      <c r="J618" s="1" t="s">
        <v>4114</v>
      </c>
      <c r="L618" s="1" t="s">
        <v>4114</v>
      </c>
      <c r="M618" s="1" t="s">
        <v>4097</v>
      </c>
      <c r="P618" s="1" t="s">
        <v>4098</v>
      </c>
      <c r="Q618" s="1">
        <v>2008</v>
      </c>
      <c r="R618" s="1" t="s">
        <v>4099</v>
      </c>
      <c r="S618" s="1" t="s">
        <v>27</v>
      </c>
      <c r="T618" s="6">
        <v>1</v>
      </c>
      <c r="Z618" s="1">
        <v>77.2</v>
      </c>
      <c r="AA618" s="1">
        <v>6.25</v>
      </c>
      <c r="AC618" s="1">
        <v>17.600000000000001</v>
      </c>
      <c r="AH618" s="1">
        <v>4.5999999999999996</v>
      </c>
      <c r="AQ618" s="1">
        <v>0.3</v>
      </c>
      <c r="AV618" s="1">
        <v>1</v>
      </c>
      <c r="EY618" s="1">
        <v>61.2</v>
      </c>
    </row>
    <row r="619" spans="1:155" x14ac:dyDescent="0.2">
      <c r="A619" s="1" t="s">
        <v>4115</v>
      </c>
      <c r="B619" s="1" t="s">
        <v>1912</v>
      </c>
      <c r="C619" s="1" t="s">
        <v>4116</v>
      </c>
      <c r="E619" s="1">
        <v>43</v>
      </c>
      <c r="F619" s="1" t="s">
        <v>4117</v>
      </c>
      <c r="H619" s="1" t="s">
        <v>4118</v>
      </c>
      <c r="I619" s="1" t="s">
        <v>7</v>
      </c>
      <c r="J619" s="1" t="s">
        <v>4119</v>
      </c>
      <c r="K619" s="1" t="s">
        <v>4120</v>
      </c>
      <c r="L619" s="1" t="s">
        <v>4119</v>
      </c>
      <c r="N619" s="1" t="s">
        <v>4121</v>
      </c>
      <c r="Q619" s="1">
        <v>2008</v>
      </c>
      <c r="R619" s="1" t="s">
        <v>4122</v>
      </c>
      <c r="S619" s="1" t="s">
        <v>27</v>
      </c>
      <c r="T619" s="6">
        <v>1</v>
      </c>
      <c r="AX619" s="1">
        <v>2300</v>
      </c>
      <c r="AY619" s="1">
        <v>47.3</v>
      </c>
      <c r="AZ619" s="1">
        <v>441.9</v>
      </c>
      <c r="BD619" s="1">
        <v>1</v>
      </c>
      <c r="BF619" s="1">
        <v>0.23</v>
      </c>
      <c r="BH619" s="1">
        <v>262.89999999999998</v>
      </c>
      <c r="BJ619" s="1">
        <v>25.2</v>
      </c>
      <c r="BK619" s="1">
        <v>6.0999999999999999E-2</v>
      </c>
      <c r="BM619" s="1">
        <v>322.8</v>
      </c>
      <c r="BR619" s="1">
        <v>171.6</v>
      </c>
      <c r="BS619" s="1">
        <v>85</v>
      </c>
      <c r="BW619" s="1">
        <v>2.9</v>
      </c>
      <c r="BY619" s="1">
        <v>1100</v>
      </c>
      <c r="CA619" s="1">
        <v>2</v>
      </c>
      <c r="CB619" s="1">
        <v>1</v>
      </c>
      <c r="CC619" s="1">
        <v>10</v>
      </c>
      <c r="CE619" s="1">
        <v>3400</v>
      </c>
    </row>
    <row r="620" spans="1:155" x14ac:dyDescent="0.2">
      <c r="A620" s="1" t="s">
        <v>4123</v>
      </c>
      <c r="B620" s="1" t="s">
        <v>1912</v>
      </c>
      <c r="C620" s="1" t="s">
        <v>4116</v>
      </c>
      <c r="E620" s="1">
        <v>43</v>
      </c>
      <c r="F620" s="1" t="s">
        <v>4117</v>
      </c>
      <c r="H620" s="1" t="s">
        <v>4124</v>
      </c>
      <c r="I620" s="1" t="s">
        <v>7</v>
      </c>
      <c r="J620" s="1" t="s">
        <v>4119</v>
      </c>
      <c r="K620" s="1" t="s">
        <v>4120</v>
      </c>
      <c r="L620" s="1" t="s">
        <v>4119</v>
      </c>
      <c r="N620" s="1" t="s">
        <v>4121</v>
      </c>
      <c r="Q620" s="1">
        <v>2008</v>
      </c>
      <c r="R620" s="1" t="s">
        <v>4122</v>
      </c>
      <c r="S620" s="1" t="s">
        <v>27</v>
      </c>
      <c r="T620" s="6">
        <v>1</v>
      </c>
      <c r="AX620" s="1">
        <v>4800</v>
      </c>
      <c r="AY620" s="1">
        <v>29.3</v>
      </c>
      <c r="AZ620" s="1">
        <v>468.1</v>
      </c>
      <c r="BD620" s="1">
        <v>12.7</v>
      </c>
      <c r="BF620" s="1">
        <v>2.9</v>
      </c>
      <c r="BH620" s="1">
        <v>269.39999999999998</v>
      </c>
      <c r="BJ620" s="1">
        <v>15.8</v>
      </c>
      <c r="BK620" s="1">
        <v>0.27</v>
      </c>
      <c r="BM620" s="1">
        <v>284.2</v>
      </c>
      <c r="BR620" s="1">
        <v>195.5</v>
      </c>
      <c r="BS620" s="1">
        <v>180</v>
      </c>
      <c r="BW620" s="1">
        <v>3.1</v>
      </c>
      <c r="BY620" s="1">
        <v>2000</v>
      </c>
      <c r="CA620" s="1">
        <v>1100</v>
      </c>
      <c r="CB620" s="1">
        <v>13</v>
      </c>
      <c r="CC620" s="1">
        <v>11</v>
      </c>
      <c r="CE620" s="1">
        <v>1400</v>
      </c>
    </row>
    <row r="621" spans="1:155" x14ac:dyDescent="0.2">
      <c r="A621" s="1" t="s">
        <v>4125</v>
      </c>
      <c r="B621" s="1" t="s">
        <v>1912</v>
      </c>
      <c r="C621" s="1" t="s">
        <v>4116</v>
      </c>
      <c r="E621" s="1">
        <v>43</v>
      </c>
      <c r="F621" s="1" t="s">
        <v>4117</v>
      </c>
      <c r="H621" s="1" t="s">
        <v>4126</v>
      </c>
      <c r="I621" s="1" t="s">
        <v>7</v>
      </c>
      <c r="J621" s="1" t="s">
        <v>4119</v>
      </c>
      <c r="K621" s="1" t="s">
        <v>4120</v>
      </c>
      <c r="L621" s="1" t="s">
        <v>4119</v>
      </c>
      <c r="N621" s="1" t="s">
        <v>4121</v>
      </c>
      <c r="Q621" s="1">
        <v>2008</v>
      </c>
      <c r="R621" s="1" t="s">
        <v>4122</v>
      </c>
      <c r="S621" s="1" t="s">
        <v>27</v>
      </c>
      <c r="T621" s="6">
        <v>1</v>
      </c>
      <c r="AX621" s="1">
        <v>2500</v>
      </c>
      <c r="AY621" s="1">
        <v>17.3</v>
      </c>
      <c r="AZ621" s="1">
        <v>231.6</v>
      </c>
      <c r="BD621" s="1">
        <v>1.5</v>
      </c>
      <c r="BF621" s="1">
        <v>1.2</v>
      </c>
      <c r="BH621" s="1">
        <v>213.5</v>
      </c>
      <c r="BJ621" s="1">
        <v>11.2</v>
      </c>
      <c r="BK621" s="1">
        <v>0.21</v>
      </c>
      <c r="BM621" s="1">
        <v>149.80000000000001</v>
      </c>
      <c r="BR621" s="1">
        <v>132</v>
      </c>
      <c r="BS621" s="1">
        <v>330</v>
      </c>
      <c r="BW621" s="1">
        <v>1.7</v>
      </c>
      <c r="BY621" s="1">
        <v>1200</v>
      </c>
      <c r="CB621" s="1">
        <v>1</v>
      </c>
      <c r="CE621" s="1">
        <v>1200</v>
      </c>
    </row>
    <row r="622" spans="1:155" x14ac:dyDescent="0.2">
      <c r="A622" s="1" t="s">
        <v>4127</v>
      </c>
      <c r="B622" s="1" t="s">
        <v>1912</v>
      </c>
      <c r="C622" s="1" t="s">
        <v>2595</v>
      </c>
      <c r="E622" s="1">
        <v>43</v>
      </c>
      <c r="F622" s="1" t="s">
        <v>1913</v>
      </c>
      <c r="H622" s="1" t="s">
        <v>4128</v>
      </c>
      <c r="I622" s="1" t="s">
        <v>7</v>
      </c>
      <c r="J622" s="1" t="s">
        <v>1915</v>
      </c>
      <c r="K622" s="1" t="s">
        <v>1916</v>
      </c>
      <c r="L622" s="1" t="s">
        <v>1915</v>
      </c>
      <c r="N622" s="1" t="s">
        <v>4129</v>
      </c>
      <c r="Q622" s="1">
        <v>2008</v>
      </c>
      <c r="R622" s="1" t="s">
        <v>4122</v>
      </c>
      <c r="S622" s="1" t="s">
        <v>27</v>
      </c>
      <c r="T622" s="6">
        <v>1</v>
      </c>
      <c r="AX622" s="1">
        <v>2200</v>
      </c>
      <c r="AY622" s="1">
        <v>45.6</v>
      </c>
      <c r="AZ622" s="1">
        <v>404.3</v>
      </c>
      <c r="BD622" s="1">
        <v>0.96</v>
      </c>
      <c r="BF622" s="1">
        <v>0.18</v>
      </c>
      <c r="BH622" s="1">
        <v>261.3</v>
      </c>
      <c r="BJ622" s="1">
        <v>22.2</v>
      </c>
      <c r="BK622" s="1">
        <v>0.04</v>
      </c>
      <c r="BM622" s="1">
        <v>196.2</v>
      </c>
      <c r="BR622" s="1">
        <v>169.5</v>
      </c>
      <c r="BS622" s="1">
        <v>56</v>
      </c>
      <c r="BW622" s="1">
        <v>2.6</v>
      </c>
      <c r="BY622" s="1">
        <v>1700</v>
      </c>
      <c r="CA622" s="1">
        <v>2</v>
      </c>
      <c r="CB622" s="1">
        <v>15</v>
      </c>
      <c r="CC622" s="1">
        <v>10</v>
      </c>
      <c r="CE622" s="1">
        <v>3500</v>
      </c>
    </row>
    <row r="623" spans="1:155" x14ac:dyDescent="0.2">
      <c r="A623" s="1" t="s">
        <v>4130</v>
      </c>
      <c r="B623" s="1" t="s">
        <v>1912</v>
      </c>
      <c r="C623" s="1" t="s">
        <v>2595</v>
      </c>
      <c r="E623" s="1">
        <v>43</v>
      </c>
      <c r="F623" s="1" t="s">
        <v>1913</v>
      </c>
      <c r="H623" s="1" t="s">
        <v>4131</v>
      </c>
      <c r="I623" s="1" t="s">
        <v>7</v>
      </c>
      <c r="J623" s="1" t="s">
        <v>1915</v>
      </c>
      <c r="K623" s="1" t="s">
        <v>1916</v>
      </c>
      <c r="L623" s="1" t="s">
        <v>1915</v>
      </c>
      <c r="N623" s="1" t="s">
        <v>4129</v>
      </c>
      <c r="Q623" s="1">
        <v>2008</v>
      </c>
      <c r="R623" s="1" t="s">
        <v>4122</v>
      </c>
      <c r="S623" s="1" t="s">
        <v>27</v>
      </c>
      <c r="T623" s="6">
        <v>1</v>
      </c>
      <c r="AX623" s="1">
        <v>7400</v>
      </c>
      <c r="AY623" s="1">
        <v>33.5</v>
      </c>
      <c r="AZ623" s="1">
        <v>475.6</v>
      </c>
      <c r="BD623" s="1">
        <v>27</v>
      </c>
      <c r="BF623" s="1">
        <v>1.6</v>
      </c>
      <c r="BH623" s="1">
        <v>253.4</v>
      </c>
      <c r="BJ623" s="1">
        <v>8.1999999999999993</v>
      </c>
      <c r="BK623" s="1">
        <v>0.19</v>
      </c>
      <c r="BM623" s="1">
        <v>160.80000000000001</v>
      </c>
      <c r="BR623" s="1">
        <v>202.9</v>
      </c>
      <c r="BS623" s="1">
        <v>110</v>
      </c>
      <c r="BW623" s="1">
        <v>4.0999999999999996</v>
      </c>
      <c r="BY623" s="1">
        <v>2400</v>
      </c>
      <c r="CA623" s="1">
        <v>1100</v>
      </c>
      <c r="CB623" s="1">
        <v>9</v>
      </c>
      <c r="CC623" s="1">
        <v>10</v>
      </c>
      <c r="CE623" s="1">
        <v>2000</v>
      </c>
    </row>
    <row r="624" spans="1:155" x14ac:dyDescent="0.2">
      <c r="A624" s="1" t="s">
        <v>4132</v>
      </c>
      <c r="B624" s="1" t="s">
        <v>1912</v>
      </c>
      <c r="C624" s="1" t="s">
        <v>2595</v>
      </c>
      <c r="E624" s="1">
        <v>43</v>
      </c>
      <c r="F624" s="1" t="s">
        <v>1913</v>
      </c>
      <c r="H624" s="1" t="s">
        <v>4133</v>
      </c>
      <c r="I624" s="1" t="s">
        <v>7</v>
      </c>
      <c r="J624" s="1" t="s">
        <v>1915</v>
      </c>
      <c r="K624" s="1" t="s">
        <v>1916</v>
      </c>
      <c r="L624" s="1" t="s">
        <v>1915</v>
      </c>
      <c r="N624" s="1" t="s">
        <v>4129</v>
      </c>
      <c r="Q624" s="1">
        <v>2008</v>
      </c>
      <c r="R624" s="1" t="s">
        <v>4122</v>
      </c>
      <c r="S624" s="1" t="s">
        <v>27</v>
      </c>
      <c r="T624" s="6">
        <v>1</v>
      </c>
      <c r="AX624" s="1">
        <v>2600</v>
      </c>
      <c r="AY624" s="1">
        <v>17.3</v>
      </c>
      <c r="AZ624" s="1">
        <v>245.5</v>
      </c>
      <c r="BD624" s="1">
        <v>1.4</v>
      </c>
      <c r="BF624" s="1">
        <v>1.6</v>
      </c>
      <c r="BH624" s="1">
        <v>231.4</v>
      </c>
      <c r="BJ624" s="1">
        <v>9.1999999999999993</v>
      </c>
      <c r="BK624" s="1">
        <v>0.22</v>
      </c>
      <c r="BM624" s="1">
        <v>150.6</v>
      </c>
      <c r="BR624" s="1">
        <v>216.8</v>
      </c>
      <c r="BS624" s="1">
        <v>260</v>
      </c>
      <c r="BW624" s="1">
        <v>3</v>
      </c>
      <c r="BY624" s="1">
        <v>1700</v>
      </c>
      <c r="CB624" s="1">
        <v>1</v>
      </c>
      <c r="CE624" s="1">
        <v>1200</v>
      </c>
    </row>
    <row r="625" spans="1:163" x14ac:dyDescent="0.2">
      <c r="A625" s="1" t="s">
        <v>4134</v>
      </c>
      <c r="B625" s="1" t="s">
        <v>1912</v>
      </c>
      <c r="C625" s="1" t="s">
        <v>2595</v>
      </c>
      <c r="E625" s="1">
        <v>43</v>
      </c>
      <c r="F625" s="1" t="s">
        <v>1913</v>
      </c>
      <c r="H625" s="1" t="s">
        <v>4135</v>
      </c>
      <c r="I625" s="1" t="s">
        <v>7</v>
      </c>
      <c r="J625" s="1" t="s">
        <v>1915</v>
      </c>
      <c r="K625" s="1" t="s">
        <v>1916</v>
      </c>
      <c r="L625" s="1" t="s">
        <v>1915</v>
      </c>
      <c r="N625" s="1" t="s">
        <v>4129</v>
      </c>
      <c r="Q625" s="1">
        <v>2008</v>
      </c>
      <c r="R625" s="1" t="s">
        <v>4122</v>
      </c>
      <c r="S625" s="1" t="s">
        <v>27</v>
      </c>
      <c r="T625" s="6">
        <v>1</v>
      </c>
      <c r="AX625" s="1">
        <v>11400</v>
      </c>
      <c r="AY625" s="1">
        <v>44.6</v>
      </c>
      <c r="AZ625" s="1">
        <v>480.3</v>
      </c>
      <c r="BD625" s="1">
        <v>3.4</v>
      </c>
      <c r="BF625" s="1">
        <v>0.7</v>
      </c>
      <c r="BH625" s="1">
        <v>64.400000000000006</v>
      </c>
      <c r="BJ625" s="1">
        <v>39.6</v>
      </c>
      <c r="BK625" s="1">
        <v>0.08</v>
      </c>
      <c r="BM625" s="1">
        <v>400.6</v>
      </c>
      <c r="BR625" s="1">
        <v>169.6</v>
      </c>
      <c r="BS625" s="1">
        <v>100</v>
      </c>
      <c r="BW625" s="1">
        <v>3.5</v>
      </c>
      <c r="BY625" s="1">
        <v>11</v>
      </c>
      <c r="CB625" s="1">
        <v>1</v>
      </c>
      <c r="CE625" s="1">
        <v>2000</v>
      </c>
    </row>
    <row r="626" spans="1:163" x14ac:dyDescent="0.2">
      <c r="A626" s="1" t="s">
        <v>4136</v>
      </c>
      <c r="B626" s="1" t="s">
        <v>1912</v>
      </c>
      <c r="C626" s="1" t="s">
        <v>4137</v>
      </c>
      <c r="D626" s="1" t="s">
        <v>2</v>
      </c>
      <c r="E626" s="1">
        <v>41</v>
      </c>
      <c r="F626" s="1" t="s">
        <v>4138</v>
      </c>
      <c r="H626" s="1" t="s">
        <v>4139</v>
      </c>
      <c r="I626" s="1" t="s">
        <v>11</v>
      </c>
      <c r="J626" s="1" t="s">
        <v>4140</v>
      </c>
      <c r="K626" s="1" t="s">
        <v>4141</v>
      </c>
      <c r="L626" s="1" t="s">
        <v>4140</v>
      </c>
      <c r="M626" s="1" t="s">
        <v>4142</v>
      </c>
      <c r="N626" s="1" t="s">
        <v>4143</v>
      </c>
      <c r="P626" s="1" t="s">
        <v>1270</v>
      </c>
      <c r="Q626" s="1">
        <v>2007</v>
      </c>
      <c r="R626" s="1" t="s">
        <v>4144</v>
      </c>
      <c r="S626" s="1" t="s">
        <v>27</v>
      </c>
      <c r="T626" s="6">
        <v>1</v>
      </c>
      <c r="U626" s="1">
        <v>0.24199999999999999</v>
      </c>
      <c r="Z626" s="1">
        <v>78.8</v>
      </c>
      <c r="AA626" s="1">
        <v>6.25</v>
      </c>
      <c r="AC626" s="1">
        <v>18.899999999999999</v>
      </c>
      <c r="AI626" s="1">
        <v>0.9</v>
      </c>
      <c r="AK626" s="1">
        <v>0.14632133999999999</v>
      </c>
      <c r="AL626" s="1">
        <v>0.29258393999999999</v>
      </c>
      <c r="AM626" s="1">
        <v>0.14021238</v>
      </c>
      <c r="AN626" s="1">
        <v>8.2235999999999993E-3</v>
      </c>
      <c r="AV626" s="1">
        <v>1.39</v>
      </c>
      <c r="DU626" s="1">
        <v>1250</v>
      </c>
      <c r="DV626" s="1">
        <v>1780</v>
      </c>
      <c r="DX626" s="1">
        <v>1790</v>
      </c>
      <c r="DY626" s="1">
        <v>180</v>
      </c>
      <c r="EA626" s="1">
        <v>2740</v>
      </c>
      <c r="EB626" s="1">
        <v>1160</v>
      </c>
      <c r="EC626" s="1">
        <v>430</v>
      </c>
      <c r="EF626" s="1">
        <v>780</v>
      </c>
      <c r="EG626" s="1">
        <v>1390</v>
      </c>
      <c r="EH626" s="1">
        <v>1460</v>
      </c>
      <c r="EI626" s="1">
        <v>230</v>
      </c>
      <c r="EK626" s="1">
        <v>780</v>
      </c>
      <c r="EL626" s="1">
        <v>520</v>
      </c>
      <c r="EM626" s="1">
        <v>750</v>
      </c>
      <c r="EO626" s="1">
        <v>860</v>
      </c>
      <c r="EP626" s="1">
        <v>510</v>
      </c>
      <c r="EQ626" s="1">
        <v>630</v>
      </c>
      <c r="ER626" s="1">
        <v>860</v>
      </c>
    </row>
    <row r="627" spans="1:163" x14ac:dyDescent="0.2">
      <c r="A627" s="1" t="s">
        <v>4145</v>
      </c>
      <c r="B627" s="1" t="s">
        <v>1912</v>
      </c>
      <c r="C627" s="1" t="s">
        <v>4137</v>
      </c>
      <c r="D627" s="1" t="s">
        <v>2</v>
      </c>
      <c r="E627" s="1">
        <v>41</v>
      </c>
      <c r="F627" s="1" t="s">
        <v>4138</v>
      </c>
      <c r="H627" s="1" t="s">
        <v>4146</v>
      </c>
      <c r="I627" s="1" t="s">
        <v>11</v>
      </c>
      <c r="J627" s="1" t="s">
        <v>4140</v>
      </c>
      <c r="K627" s="1" t="s">
        <v>4141</v>
      </c>
      <c r="L627" s="1" t="s">
        <v>4140</v>
      </c>
      <c r="M627" s="1" t="s">
        <v>4142</v>
      </c>
      <c r="N627" s="1" t="s">
        <v>4143</v>
      </c>
      <c r="Q627" s="1">
        <v>2007</v>
      </c>
      <c r="R627" s="1" t="s">
        <v>4144</v>
      </c>
      <c r="S627" s="1" t="s">
        <v>27</v>
      </c>
      <c r="T627" s="6">
        <v>1</v>
      </c>
      <c r="U627" s="1">
        <v>9.1999999999999998E-2</v>
      </c>
      <c r="Z627" s="1" t="s">
        <v>4147</v>
      </c>
      <c r="AA627" s="1">
        <v>6.25</v>
      </c>
      <c r="AC627" s="1" t="s">
        <v>4148</v>
      </c>
      <c r="AI627" s="1" t="s">
        <v>4149</v>
      </c>
      <c r="AV627" s="1" t="s">
        <v>4150</v>
      </c>
    </row>
    <row r="628" spans="1:163" x14ac:dyDescent="0.2">
      <c r="A628" s="1" t="s">
        <v>4151</v>
      </c>
      <c r="B628" s="1" t="s">
        <v>57</v>
      </c>
      <c r="C628" s="1" t="s">
        <v>4152</v>
      </c>
      <c r="D628" s="1" t="s">
        <v>2</v>
      </c>
      <c r="E628" s="1">
        <v>54</v>
      </c>
      <c r="F628" s="1" t="s">
        <v>4153</v>
      </c>
      <c r="H628" s="1" t="s">
        <v>4154</v>
      </c>
      <c r="I628" s="1" t="s">
        <v>7</v>
      </c>
      <c r="J628" s="1" t="s">
        <v>4155</v>
      </c>
      <c r="K628" s="1" t="s">
        <v>4156</v>
      </c>
      <c r="L628" s="1" t="s">
        <v>4155</v>
      </c>
      <c r="M628" s="1" t="s">
        <v>4157</v>
      </c>
      <c r="P628" s="1" t="s">
        <v>1270</v>
      </c>
      <c r="Q628" s="1">
        <v>2009</v>
      </c>
      <c r="R628" s="1" t="s">
        <v>4158</v>
      </c>
      <c r="S628" s="1" t="s">
        <v>27</v>
      </c>
      <c r="T628" s="6">
        <v>1</v>
      </c>
      <c r="U628" s="1">
        <v>0.26</v>
      </c>
      <c r="Z628" s="1" t="s">
        <v>4159</v>
      </c>
      <c r="AC628" s="1" t="s">
        <v>4160</v>
      </c>
      <c r="AI628" s="1" t="s">
        <v>1568</v>
      </c>
      <c r="AK628" s="1">
        <v>0.37843653199999999</v>
      </c>
      <c r="AL628" s="1">
        <v>0.26165302000000001</v>
      </c>
      <c r="AM628" s="1">
        <v>0.33834786</v>
      </c>
      <c r="AV628" s="1" t="s">
        <v>4161</v>
      </c>
      <c r="AY628" s="1">
        <v>37</v>
      </c>
      <c r="BD628" s="1">
        <v>0.1</v>
      </c>
      <c r="BF628" s="1">
        <v>2.1</v>
      </c>
      <c r="BH628" s="1">
        <v>111</v>
      </c>
      <c r="BJ628" s="1">
        <v>41</v>
      </c>
      <c r="BK628" s="1">
        <v>0.17</v>
      </c>
      <c r="BM628" s="1">
        <v>415</v>
      </c>
      <c r="BP628" s="1">
        <v>149</v>
      </c>
      <c r="BW628" s="1">
        <v>2</v>
      </c>
    </row>
    <row r="629" spans="1:163" x14ac:dyDescent="0.2">
      <c r="A629" s="1" t="s">
        <v>4162</v>
      </c>
      <c r="B629" s="1" t="s">
        <v>57</v>
      </c>
      <c r="C629" s="1" t="s">
        <v>4163</v>
      </c>
      <c r="D629" s="1" t="s">
        <v>2</v>
      </c>
      <c r="E629" s="1">
        <v>54</v>
      </c>
      <c r="F629" s="1" t="s">
        <v>4153</v>
      </c>
      <c r="H629" s="1" t="s">
        <v>4154</v>
      </c>
      <c r="I629" s="1" t="s">
        <v>7</v>
      </c>
      <c r="J629" s="1" t="s">
        <v>4155</v>
      </c>
      <c r="K629" s="1" t="s">
        <v>4156</v>
      </c>
      <c r="L629" s="1" t="s">
        <v>4155</v>
      </c>
      <c r="M629" s="1" t="s">
        <v>4157</v>
      </c>
      <c r="P629" s="1" t="s">
        <v>1270</v>
      </c>
      <c r="Q629" s="1">
        <v>2009</v>
      </c>
      <c r="R629" s="1" t="s">
        <v>4158</v>
      </c>
      <c r="S629" s="1" t="s">
        <v>27</v>
      </c>
      <c r="T629" s="6">
        <v>1</v>
      </c>
      <c r="U629" s="1">
        <v>0.34</v>
      </c>
      <c r="Z629" s="1" t="s">
        <v>4164</v>
      </c>
      <c r="AC629" s="1" t="s">
        <v>4165</v>
      </c>
      <c r="AI629" s="1" t="s">
        <v>4166</v>
      </c>
      <c r="AK629" s="1">
        <v>0.67224801599999995</v>
      </c>
      <c r="AL629" s="1">
        <v>0.315755968</v>
      </c>
      <c r="AM629" s="1">
        <v>0.53963324800000001</v>
      </c>
      <c r="AV629" s="1" t="s">
        <v>4167</v>
      </c>
      <c r="AY629" s="1">
        <v>82</v>
      </c>
      <c r="BD629" s="1">
        <v>0.12</v>
      </c>
      <c r="BF629" s="1">
        <v>2.9</v>
      </c>
      <c r="BH629" s="1">
        <v>139</v>
      </c>
      <c r="BJ629" s="1">
        <v>91</v>
      </c>
      <c r="BK629" s="1">
        <v>0.17</v>
      </c>
      <c r="BM629" s="1">
        <v>449</v>
      </c>
      <c r="BP629" s="1">
        <v>239</v>
      </c>
      <c r="BW629" s="1">
        <v>1.76</v>
      </c>
    </row>
    <row r="630" spans="1:163" x14ac:dyDescent="0.2">
      <c r="A630" s="1" t="s">
        <v>4168</v>
      </c>
      <c r="B630" s="1" t="s">
        <v>1912</v>
      </c>
      <c r="C630" s="1" t="s">
        <v>4169</v>
      </c>
      <c r="D630" s="1" t="s">
        <v>2</v>
      </c>
      <c r="E630" s="1">
        <v>45</v>
      </c>
      <c r="F630" s="1" t="s">
        <v>3696</v>
      </c>
      <c r="H630" s="1" t="s">
        <v>4170</v>
      </c>
      <c r="I630" s="1" t="s">
        <v>7</v>
      </c>
      <c r="J630" s="1" t="s">
        <v>3698</v>
      </c>
      <c r="K630" s="1" t="s">
        <v>3699</v>
      </c>
      <c r="L630" s="1" t="s">
        <v>3698</v>
      </c>
      <c r="P630" s="1" t="s">
        <v>4171</v>
      </c>
      <c r="Q630" s="1">
        <v>2007</v>
      </c>
      <c r="R630" s="1" t="s">
        <v>4172</v>
      </c>
      <c r="S630" s="1" t="s">
        <v>27</v>
      </c>
      <c r="T630" s="6">
        <v>1</v>
      </c>
      <c r="Z630" s="1">
        <v>80.47</v>
      </c>
      <c r="AE630" s="1" t="s">
        <v>4173</v>
      </c>
      <c r="AG630" s="1">
        <v>468</v>
      </c>
      <c r="AJ630" s="1">
        <v>1.23</v>
      </c>
      <c r="AK630" s="1">
        <v>0.31961951999999999</v>
      </c>
      <c r="AM630" s="1">
        <v>0.39997584000000003</v>
      </c>
      <c r="AN630" s="1">
        <v>4.9658399999999998E-2</v>
      </c>
      <c r="AV630" s="1">
        <v>0.95</v>
      </c>
      <c r="AY630" s="1">
        <v>25.9</v>
      </c>
      <c r="BD630" s="1">
        <v>0.63100000000000001</v>
      </c>
      <c r="BF630" s="1">
        <v>3.07</v>
      </c>
      <c r="BJ630" s="1">
        <v>43.1</v>
      </c>
      <c r="BK630" s="1">
        <v>0.1</v>
      </c>
      <c r="BO630" s="1">
        <v>60</v>
      </c>
      <c r="BW630" s="1">
        <v>1.73</v>
      </c>
      <c r="DU630" s="1" t="s">
        <v>4174</v>
      </c>
      <c r="DV630" s="1" t="s">
        <v>4175</v>
      </c>
      <c r="DY630" s="1" t="s">
        <v>4176</v>
      </c>
      <c r="EB630" s="1" t="s">
        <v>4177</v>
      </c>
      <c r="EC630" s="1" t="s">
        <v>4178</v>
      </c>
      <c r="ED630" s="1" t="s">
        <v>4179</v>
      </c>
      <c r="EE630" s="1" t="s">
        <v>4180</v>
      </c>
      <c r="EF630" s="1" t="s">
        <v>4181</v>
      </c>
      <c r="EG630" s="1" t="s">
        <v>4182</v>
      </c>
      <c r="EH630" s="1" t="s">
        <v>4183</v>
      </c>
      <c r="EI630" s="1" t="s">
        <v>4184</v>
      </c>
      <c r="EK630" s="1" t="s">
        <v>4185</v>
      </c>
      <c r="EL630" s="1" t="s">
        <v>4186</v>
      </c>
      <c r="EM630" s="1" t="s">
        <v>4187</v>
      </c>
      <c r="EO630" s="1" t="s">
        <v>4188</v>
      </c>
      <c r="EQ630" s="1" t="s">
        <v>4189</v>
      </c>
      <c r="ER630" s="1" t="s">
        <v>4190</v>
      </c>
      <c r="ET630" s="1" t="s">
        <v>4191</v>
      </c>
      <c r="EU630" s="1" t="s">
        <v>4192</v>
      </c>
      <c r="FA630" s="1">
        <v>3.0258E-2</v>
      </c>
      <c r="FB630" s="1">
        <v>0.91635</v>
      </c>
      <c r="FD630" s="1">
        <v>8.2409999999999997E-2</v>
      </c>
      <c r="FE630" s="1">
        <v>0.20049</v>
      </c>
    </row>
    <row r="631" spans="1:163" x14ac:dyDescent="0.2">
      <c r="A631" s="1" t="s">
        <v>4193</v>
      </c>
      <c r="B631" s="1" t="s">
        <v>1912</v>
      </c>
      <c r="C631" s="1" t="s">
        <v>4194</v>
      </c>
      <c r="D631" s="1" t="s">
        <v>2</v>
      </c>
      <c r="E631" s="1">
        <v>45</v>
      </c>
      <c r="F631" s="1" t="s">
        <v>4195</v>
      </c>
      <c r="H631" s="1" t="s">
        <v>4196</v>
      </c>
      <c r="I631" s="1" t="s">
        <v>7</v>
      </c>
      <c r="J631" s="1" t="s">
        <v>4197</v>
      </c>
      <c r="K631" s="1" t="s">
        <v>4198</v>
      </c>
      <c r="L631" s="1" t="s">
        <v>4197</v>
      </c>
      <c r="P631" s="1" t="s">
        <v>4171</v>
      </c>
      <c r="Q631" s="1">
        <v>2007</v>
      </c>
      <c r="R631" s="1" t="s">
        <v>4172</v>
      </c>
      <c r="S631" s="1" t="s">
        <v>27</v>
      </c>
      <c r="T631" s="6">
        <v>1</v>
      </c>
      <c r="Z631" s="1">
        <v>77.209999999999994</v>
      </c>
      <c r="AE631" s="1" t="s">
        <v>4199</v>
      </c>
      <c r="AG631" s="1">
        <v>144</v>
      </c>
      <c r="AJ631" s="1">
        <v>1.3</v>
      </c>
      <c r="AK631" s="1">
        <v>0.34718840000000001</v>
      </c>
      <c r="AM631" s="1">
        <v>0.4092556</v>
      </c>
      <c r="AN631" s="1">
        <v>5.7606119999999997E-2</v>
      </c>
      <c r="AV631" s="1">
        <v>1.47</v>
      </c>
      <c r="AY631" s="1">
        <v>24.7</v>
      </c>
      <c r="BD631" s="1">
        <v>0.40699999999999997</v>
      </c>
      <c r="BF631" s="1">
        <v>1.22</v>
      </c>
      <c r="BJ631" s="1">
        <v>36.1</v>
      </c>
      <c r="BK631" s="1">
        <v>4.8000000000000001E-2</v>
      </c>
      <c r="BO631" s="1">
        <v>36</v>
      </c>
      <c r="BW631" s="1">
        <v>1.47</v>
      </c>
      <c r="DU631" s="1" t="s">
        <v>4200</v>
      </c>
      <c r="DV631" s="1" t="s">
        <v>4201</v>
      </c>
      <c r="DY631" s="1" t="s">
        <v>4202</v>
      </c>
      <c r="EB631" s="1" t="s">
        <v>4203</v>
      </c>
      <c r="EC631" s="1" t="s">
        <v>4204</v>
      </c>
      <c r="EE631" s="1" t="s">
        <v>4205</v>
      </c>
      <c r="EF631" s="1" t="s">
        <v>4206</v>
      </c>
      <c r="EG631" s="1" t="s">
        <v>4207</v>
      </c>
      <c r="EH631" s="1" t="s">
        <v>4208</v>
      </c>
      <c r="EI631" s="1" t="s">
        <v>4209</v>
      </c>
      <c r="EK631" s="1" t="s">
        <v>4210</v>
      </c>
      <c r="EL631" s="1" t="s">
        <v>4211</v>
      </c>
      <c r="EM631" s="1" t="s">
        <v>4212</v>
      </c>
      <c r="EO631" s="1" t="s">
        <v>4213</v>
      </c>
      <c r="EQ631" s="1" t="s">
        <v>4210</v>
      </c>
      <c r="ER631" s="1" t="s">
        <v>4214</v>
      </c>
      <c r="ET631" s="1" t="s">
        <v>4215</v>
      </c>
      <c r="EU631" s="1" t="s">
        <v>4216</v>
      </c>
      <c r="FA631" s="1">
        <v>0.11401</v>
      </c>
      <c r="FB631" s="1">
        <v>0.93989999999999996</v>
      </c>
      <c r="FD631" s="1">
        <v>3.5229999999999997E-2</v>
      </c>
      <c r="FE631" s="1">
        <v>0.21060000000000001</v>
      </c>
    </row>
    <row r="632" spans="1:163" x14ac:dyDescent="0.2">
      <c r="A632" s="1" t="s">
        <v>4217</v>
      </c>
      <c r="B632" s="1" t="s">
        <v>55</v>
      </c>
      <c r="C632" s="1" t="s">
        <v>4218</v>
      </c>
      <c r="E632" s="1">
        <v>37</v>
      </c>
      <c r="F632" s="1" t="s">
        <v>4219</v>
      </c>
      <c r="G632" s="1" t="s">
        <v>4220</v>
      </c>
      <c r="H632" s="1" t="s">
        <v>4221</v>
      </c>
      <c r="I632" s="1" t="s">
        <v>7</v>
      </c>
      <c r="J632" s="1" t="s">
        <v>4222</v>
      </c>
      <c r="K632" s="1" t="s">
        <v>4223</v>
      </c>
      <c r="L632" s="1" t="s">
        <v>4222</v>
      </c>
      <c r="M632" s="1" t="s">
        <v>758</v>
      </c>
      <c r="N632" s="1" t="s">
        <v>4224</v>
      </c>
      <c r="P632" s="1" t="s">
        <v>4225</v>
      </c>
      <c r="Q632" s="1">
        <v>2004</v>
      </c>
      <c r="R632" s="1" t="s">
        <v>4226</v>
      </c>
      <c r="S632" s="1" t="s">
        <v>27</v>
      </c>
      <c r="T632" s="6">
        <v>1</v>
      </c>
      <c r="X632" s="1">
        <v>128.19999999999999</v>
      </c>
      <c r="Z632" s="1">
        <v>76.63</v>
      </c>
      <c r="AA632" s="1">
        <v>6.25</v>
      </c>
      <c r="AC632" s="1">
        <v>17.21</v>
      </c>
      <c r="AH632" s="1">
        <v>2.11</v>
      </c>
      <c r="AK632" s="1">
        <v>0.71528183400000001</v>
      </c>
      <c r="AL632" s="1">
        <v>0.726418177</v>
      </c>
      <c r="AM632" s="1">
        <v>0.35052095999999999</v>
      </c>
      <c r="EW632" s="1">
        <v>45.8</v>
      </c>
      <c r="FG632" s="1">
        <v>1.4</v>
      </c>
    </row>
    <row r="633" spans="1:163" x14ac:dyDescent="0.2">
      <c r="A633" s="1" t="s">
        <v>4227</v>
      </c>
      <c r="B633" s="1" t="s">
        <v>55</v>
      </c>
      <c r="C633" s="1" t="s">
        <v>4218</v>
      </c>
      <c r="E633" s="1">
        <v>37</v>
      </c>
      <c r="F633" s="1" t="s">
        <v>4219</v>
      </c>
      <c r="G633" s="1" t="s">
        <v>4220</v>
      </c>
      <c r="H633" s="1" t="s">
        <v>4228</v>
      </c>
      <c r="I633" s="1" t="s">
        <v>11</v>
      </c>
      <c r="J633" s="1" t="s">
        <v>4222</v>
      </c>
      <c r="K633" s="1" t="s">
        <v>4223</v>
      </c>
      <c r="L633" s="1" t="s">
        <v>4222</v>
      </c>
      <c r="M633" s="1" t="s">
        <v>758</v>
      </c>
      <c r="N633" s="1" t="s">
        <v>4224</v>
      </c>
      <c r="P633" s="1" t="s">
        <v>4225</v>
      </c>
      <c r="Q633" s="1">
        <v>2004</v>
      </c>
      <c r="R633" s="1" t="s">
        <v>4226</v>
      </c>
      <c r="S633" s="1" t="s">
        <v>27</v>
      </c>
      <c r="T633" s="6">
        <v>1</v>
      </c>
      <c r="X633" s="1">
        <v>295.89999999999998</v>
      </c>
      <c r="Z633" s="1">
        <v>57.12</v>
      </c>
      <c r="AA633" s="1">
        <v>6.25</v>
      </c>
      <c r="AC633" s="1">
        <v>20.88</v>
      </c>
      <c r="AH633" s="1">
        <v>14.23</v>
      </c>
      <c r="AK633" s="1">
        <v>2.8959565949999999</v>
      </c>
      <c r="AL633" s="1">
        <v>7.9077345389999998</v>
      </c>
      <c r="AM633" s="1">
        <v>2.1289549390000002</v>
      </c>
      <c r="EW633" s="1">
        <v>70.8</v>
      </c>
      <c r="FG633" s="1">
        <v>3.64</v>
      </c>
    </row>
    <row r="634" spans="1:163" x14ac:dyDescent="0.2">
      <c r="A634" s="1" t="s">
        <v>4229</v>
      </c>
      <c r="B634" s="1" t="s">
        <v>55</v>
      </c>
      <c r="C634" s="1" t="s">
        <v>4218</v>
      </c>
      <c r="E634" s="1">
        <v>35</v>
      </c>
      <c r="F634" s="1" t="s">
        <v>1741</v>
      </c>
      <c r="G634" s="1" t="s">
        <v>4230</v>
      </c>
      <c r="H634" s="1" t="s">
        <v>4231</v>
      </c>
      <c r="I634" s="1" t="s">
        <v>7</v>
      </c>
      <c r="J634" s="1" t="s">
        <v>1743</v>
      </c>
      <c r="K634" s="1" t="s">
        <v>1744</v>
      </c>
      <c r="L634" s="1" t="s">
        <v>1743</v>
      </c>
      <c r="M634" s="1" t="s">
        <v>749</v>
      </c>
      <c r="N634" s="1" t="s">
        <v>4232</v>
      </c>
      <c r="P634" s="1" t="s">
        <v>4225</v>
      </c>
      <c r="Q634" s="1">
        <v>2004</v>
      </c>
      <c r="R634" s="1" t="s">
        <v>4226</v>
      </c>
      <c r="S634" s="1" t="s">
        <v>27</v>
      </c>
      <c r="T634" s="6">
        <v>1</v>
      </c>
      <c r="X634" s="1">
        <v>147.30000000000001</v>
      </c>
      <c r="Z634" s="1">
        <v>74.53</v>
      </c>
      <c r="AA634" s="1">
        <v>6.25</v>
      </c>
      <c r="AC634" s="1">
        <v>20.47</v>
      </c>
      <c r="AH634" s="1">
        <v>2.0699999999999998</v>
      </c>
      <c r="AK634" s="1">
        <v>0.72301373300000005</v>
      </c>
      <c r="AL634" s="1">
        <v>0.50823770199999996</v>
      </c>
      <c r="AM634" s="1">
        <v>0.52522664699999999</v>
      </c>
      <c r="EW634" s="1">
        <v>34.5</v>
      </c>
      <c r="FG634" s="1">
        <v>1.2</v>
      </c>
    </row>
    <row r="635" spans="1:163" x14ac:dyDescent="0.2">
      <c r="A635" s="1" t="s">
        <v>4233</v>
      </c>
      <c r="B635" s="1" t="s">
        <v>55</v>
      </c>
      <c r="C635" s="1" t="s">
        <v>4218</v>
      </c>
      <c r="E635" s="1">
        <v>35</v>
      </c>
      <c r="F635" s="1" t="s">
        <v>1741</v>
      </c>
      <c r="G635" s="1" t="s">
        <v>4230</v>
      </c>
      <c r="H635" s="1" t="s">
        <v>4234</v>
      </c>
      <c r="I635" s="1" t="s">
        <v>11</v>
      </c>
      <c r="J635" s="1" t="s">
        <v>1743</v>
      </c>
      <c r="K635" s="1" t="s">
        <v>1744</v>
      </c>
      <c r="L635" s="1" t="s">
        <v>1743</v>
      </c>
      <c r="M635" s="1" t="s">
        <v>749</v>
      </c>
      <c r="N635" s="1" t="s">
        <v>4232</v>
      </c>
      <c r="P635" s="1" t="s">
        <v>4225</v>
      </c>
      <c r="Q635" s="1">
        <v>2004</v>
      </c>
      <c r="R635" s="1" t="s">
        <v>4226</v>
      </c>
      <c r="S635" s="1" t="s">
        <v>27</v>
      </c>
      <c r="T635" s="6">
        <v>1</v>
      </c>
      <c r="X635" s="1">
        <v>345.8</v>
      </c>
      <c r="Z635" s="1">
        <v>49.38</v>
      </c>
      <c r="AA635" s="1">
        <v>6.25</v>
      </c>
      <c r="AC635" s="1">
        <v>26.83</v>
      </c>
      <c r="AH635" s="1">
        <v>18.28</v>
      </c>
      <c r="AK635" s="1">
        <v>3.3418586239999999</v>
      </c>
      <c r="AL635" s="1">
        <v>10.842437064</v>
      </c>
      <c r="AM635" s="1">
        <v>2.4387450080000002</v>
      </c>
      <c r="EW635" s="1">
        <v>50.1</v>
      </c>
      <c r="FG635" s="1">
        <v>94.1</v>
      </c>
    </row>
    <row r="636" spans="1:163" x14ac:dyDescent="0.2">
      <c r="A636" s="1" t="s">
        <v>4235</v>
      </c>
      <c r="B636" s="1" t="s">
        <v>55</v>
      </c>
      <c r="C636" s="1" t="s">
        <v>4218</v>
      </c>
      <c r="E636" s="1">
        <v>33</v>
      </c>
      <c r="F636" s="1" t="s">
        <v>4236</v>
      </c>
      <c r="G636" s="1" t="s">
        <v>4237</v>
      </c>
      <c r="H636" s="1" t="s">
        <v>4238</v>
      </c>
      <c r="I636" s="1" t="s">
        <v>7</v>
      </c>
      <c r="J636" s="1" t="s">
        <v>4239</v>
      </c>
      <c r="K636" s="1" t="s">
        <v>4240</v>
      </c>
      <c r="L636" s="1" t="s">
        <v>4239</v>
      </c>
      <c r="M636" s="1" t="s">
        <v>758</v>
      </c>
      <c r="N636" s="1" t="s">
        <v>4241</v>
      </c>
      <c r="P636" s="1" t="s">
        <v>4225</v>
      </c>
      <c r="Q636" s="1">
        <v>2004</v>
      </c>
      <c r="R636" s="1" t="s">
        <v>4226</v>
      </c>
      <c r="S636" s="1" t="s">
        <v>27</v>
      </c>
      <c r="T636" s="6">
        <v>1</v>
      </c>
      <c r="X636" s="1">
        <v>120.7</v>
      </c>
      <c r="Z636" s="1">
        <v>78.790000000000006</v>
      </c>
      <c r="AA636" s="1">
        <v>6.25</v>
      </c>
      <c r="AC636" s="1">
        <v>18.22</v>
      </c>
      <c r="AH636" s="1">
        <v>1.31</v>
      </c>
      <c r="AK636" s="1">
        <v>0.48867534400000001</v>
      </c>
      <c r="AL636" s="1">
        <v>0.31848077299999999</v>
      </c>
      <c r="AM636" s="1">
        <v>0.24498521000000001</v>
      </c>
      <c r="EW636" s="1">
        <v>25.3</v>
      </c>
      <c r="FG636" s="1">
        <v>1</v>
      </c>
    </row>
    <row r="637" spans="1:163" x14ac:dyDescent="0.2">
      <c r="A637" s="1" t="s">
        <v>4242</v>
      </c>
      <c r="B637" s="1" t="s">
        <v>55</v>
      </c>
      <c r="C637" s="1" t="s">
        <v>4218</v>
      </c>
      <c r="E637" s="1">
        <v>33</v>
      </c>
      <c r="F637" s="1" t="s">
        <v>4236</v>
      </c>
      <c r="G637" s="1" t="s">
        <v>4237</v>
      </c>
      <c r="H637" s="1" t="s">
        <v>4243</v>
      </c>
      <c r="I637" s="1" t="s">
        <v>11</v>
      </c>
      <c r="J637" s="1" t="s">
        <v>4239</v>
      </c>
      <c r="K637" s="1" t="s">
        <v>4240</v>
      </c>
      <c r="L637" s="1" t="s">
        <v>4239</v>
      </c>
      <c r="M637" s="1" t="s">
        <v>758</v>
      </c>
      <c r="N637" s="1" t="s">
        <v>4241</v>
      </c>
      <c r="P637" s="1" t="s">
        <v>4225</v>
      </c>
      <c r="Q637" s="1">
        <v>2004</v>
      </c>
      <c r="R637" s="1" t="s">
        <v>4226</v>
      </c>
      <c r="S637" s="1" t="s">
        <v>27</v>
      </c>
      <c r="T637" s="6">
        <v>1</v>
      </c>
      <c r="X637" s="1">
        <v>226.6</v>
      </c>
      <c r="Z637" s="1">
        <v>64.83</v>
      </c>
      <c r="AA637" s="1">
        <v>6.25</v>
      </c>
      <c r="AC637" s="1">
        <v>24.73</v>
      </c>
      <c r="AH637" s="1">
        <v>8.59</v>
      </c>
      <c r="AK637" s="1">
        <v>1.6915789029999999</v>
      </c>
      <c r="AL637" s="1">
        <v>4.6000870679999997</v>
      </c>
      <c r="AM637" s="1">
        <v>1.4821978010000001</v>
      </c>
      <c r="EW637" s="1">
        <v>32.9</v>
      </c>
      <c r="FG637" s="1">
        <v>27.3</v>
      </c>
    </row>
    <row r="638" spans="1:163" x14ac:dyDescent="0.2">
      <c r="A638" s="1" t="s">
        <v>4244</v>
      </c>
      <c r="B638" s="1" t="s">
        <v>55</v>
      </c>
      <c r="C638" s="1" t="s">
        <v>4218</v>
      </c>
      <c r="E638" s="1">
        <v>33</v>
      </c>
      <c r="F638" s="1" t="s">
        <v>4245</v>
      </c>
      <c r="G638" s="1" t="s">
        <v>4246</v>
      </c>
      <c r="H638" s="1" t="s">
        <v>4247</v>
      </c>
      <c r="I638" s="1" t="s">
        <v>7</v>
      </c>
      <c r="J638" s="1" t="s">
        <v>4248</v>
      </c>
      <c r="K638" s="1" t="s">
        <v>4249</v>
      </c>
      <c r="L638" s="1" t="s">
        <v>4248</v>
      </c>
      <c r="M638" s="1" t="s">
        <v>749</v>
      </c>
      <c r="N638" s="1" t="s">
        <v>4250</v>
      </c>
      <c r="P638" s="1" t="s">
        <v>4225</v>
      </c>
      <c r="Q638" s="1">
        <v>2004</v>
      </c>
      <c r="R638" s="1" t="s">
        <v>4226</v>
      </c>
      <c r="S638" s="1" t="s">
        <v>27</v>
      </c>
      <c r="T638" s="6">
        <v>1</v>
      </c>
      <c r="X638" s="1">
        <v>123.1</v>
      </c>
      <c r="Z638" s="1">
        <v>79.709999999999994</v>
      </c>
      <c r="AA638" s="1">
        <v>6.25</v>
      </c>
      <c r="AC638" s="1">
        <v>14.79</v>
      </c>
      <c r="AH638" s="1">
        <v>3.52</v>
      </c>
      <c r="AK638" s="1">
        <v>1.2492393319999999</v>
      </c>
      <c r="AL638" s="1">
        <v>1.3312236079999999</v>
      </c>
      <c r="AM638" s="1">
        <v>0.49253388799999998</v>
      </c>
      <c r="EW638" s="1">
        <v>27.4</v>
      </c>
      <c r="FG638" s="1">
        <v>1</v>
      </c>
    </row>
    <row r="639" spans="1:163" x14ac:dyDescent="0.2">
      <c r="A639" s="1" t="s">
        <v>4251</v>
      </c>
      <c r="B639" s="1" t="s">
        <v>55</v>
      </c>
      <c r="C639" s="1" t="s">
        <v>4218</v>
      </c>
      <c r="E639" s="1">
        <v>33</v>
      </c>
      <c r="F639" s="1" t="s">
        <v>4245</v>
      </c>
      <c r="G639" s="1" t="s">
        <v>4246</v>
      </c>
      <c r="H639" s="1" t="s">
        <v>4252</v>
      </c>
      <c r="I639" s="1" t="s">
        <v>11</v>
      </c>
      <c r="J639" s="1" t="s">
        <v>4248</v>
      </c>
      <c r="K639" s="1" t="s">
        <v>4249</v>
      </c>
      <c r="L639" s="1" t="s">
        <v>4248</v>
      </c>
      <c r="M639" s="1" t="s">
        <v>749</v>
      </c>
      <c r="N639" s="1" t="s">
        <v>4250</v>
      </c>
      <c r="P639" s="1" t="s">
        <v>4225</v>
      </c>
      <c r="Q639" s="1">
        <v>2004</v>
      </c>
      <c r="R639" s="1" t="s">
        <v>4226</v>
      </c>
      <c r="S639" s="1" t="s">
        <v>27</v>
      </c>
      <c r="T639" s="6">
        <v>1</v>
      </c>
      <c r="X639" s="1">
        <v>269.3</v>
      </c>
      <c r="Z639" s="1">
        <v>59.86</v>
      </c>
      <c r="AA639" s="1">
        <v>6.25</v>
      </c>
      <c r="AC639" s="1">
        <v>24.42</v>
      </c>
      <c r="AH639" s="1">
        <v>12.05</v>
      </c>
      <c r="AK639" s="1">
        <v>2.716084355</v>
      </c>
      <c r="AL639" s="1">
        <v>6.5010650050000001</v>
      </c>
      <c r="AM639" s="1">
        <v>1.65384785</v>
      </c>
      <c r="EW639" s="1">
        <v>42.9</v>
      </c>
      <c r="FG639" s="1">
        <v>38.9</v>
      </c>
    </row>
    <row r="640" spans="1:163" x14ac:dyDescent="0.2">
      <c r="A640" s="1" t="s">
        <v>4253</v>
      </c>
      <c r="B640" s="1" t="s">
        <v>55</v>
      </c>
      <c r="C640" s="1" t="s">
        <v>4218</v>
      </c>
      <c r="E640" s="1">
        <v>33</v>
      </c>
      <c r="F640" s="1" t="s">
        <v>4254</v>
      </c>
      <c r="G640" s="1" t="s">
        <v>4255</v>
      </c>
      <c r="H640" s="1" t="s">
        <v>4256</v>
      </c>
      <c r="I640" s="1" t="s">
        <v>7</v>
      </c>
      <c r="J640" s="1" t="s">
        <v>4257</v>
      </c>
      <c r="K640" s="1" t="s">
        <v>4258</v>
      </c>
      <c r="L640" s="1" t="s">
        <v>4257</v>
      </c>
      <c r="M640" s="1" t="s">
        <v>758</v>
      </c>
      <c r="N640" s="1" t="s">
        <v>4259</v>
      </c>
      <c r="P640" s="1" t="s">
        <v>4225</v>
      </c>
      <c r="Q640" s="1">
        <v>2004</v>
      </c>
      <c r="R640" s="1" t="s">
        <v>4226</v>
      </c>
      <c r="S640" s="1" t="s">
        <v>27</v>
      </c>
      <c r="T640" s="6">
        <v>1</v>
      </c>
      <c r="X640" s="1">
        <v>166.7</v>
      </c>
      <c r="Z640" s="1">
        <v>71.180000000000007</v>
      </c>
      <c r="AA640" s="1">
        <v>6.25</v>
      </c>
      <c r="AC640" s="1">
        <v>19.03</v>
      </c>
      <c r="AH640" s="1">
        <v>3.87</v>
      </c>
      <c r="AK640" s="1">
        <v>1.62635599</v>
      </c>
      <c r="AL640" s="1">
        <v>1.0576515500000001</v>
      </c>
      <c r="AM640" s="1">
        <v>0.70706606900000002</v>
      </c>
      <c r="EW640" s="1">
        <v>41.3</v>
      </c>
      <c r="FG640" s="1">
        <v>1.3</v>
      </c>
    </row>
    <row r="641" spans="1:163" x14ac:dyDescent="0.2">
      <c r="A641" s="1" t="s">
        <v>4260</v>
      </c>
      <c r="B641" s="1" t="s">
        <v>55</v>
      </c>
      <c r="C641" s="1" t="s">
        <v>4218</v>
      </c>
      <c r="E641" s="1">
        <v>37</v>
      </c>
      <c r="F641" s="1" t="s">
        <v>1250</v>
      </c>
      <c r="G641" s="1" t="s">
        <v>4261</v>
      </c>
      <c r="H641" s="1" t="s">
        <v>4262</v>
      </c>
      <c r="I641" s="1" t="s">
        <v>7</v>
      </c>
      <c r="J641" s="1" t="s">
        <v>1252</v>
      </c>
      <c r="K641" s="1" t="s">
        <v>1253</v>
      </c>
      <c r="L641" s="1" t="s">
        <v>1252</v>
      </c>
      <c r="M641" s="1" t="s">
        <v>749</v>
      </c>
      <c r="N641" s="1" t="s">
        <v>4263</v>
      </c>
      <c r="P641" s="1" t="s">
        <v>4225</v>
      </c>
      <c r="Q641" s="1">
        <v>2004</v>
      </c>
      <c r="R641" s="1" t="s">
        <v>4226</v>
      </c>
      <c r="S641" s="1" t="s">
        <v>27</v>
      </c>
      <c r="T641" s="6">
        <v>1</v>
      </c>
      <c r="X641" s="1">
        <v>138.9</v>
      </c>
      <c r="Z641" s="1">
        <v>77.900000000000006</v>
      </c>
      <c r="AA641" s="1">
        <v>6.25</v>
      </c>
      <c r="AC641" s="1">
        <v>16.04</v>
      </c>
      <c r="AH641" s="1">
        <v>3.81</v>
      </c>
      <c r="AK641" s="1">
        <v>1.1872820399999999</v>
      </c>
      <c r="AL641" s="1">
        <v>1.3196571640000001</v>
      </c>
      <c r="AM641" s="1">
        <v>0.85532071099999996</v>
      </c>
      <c r="EW641" s="1">
        <v>34.200000000000003</v>
      </c>
      <c r="FG641" s="1">
        <v>1.1000000000000001</v>
      </c>
    </row>
    <row r="642" spans="1:163" x14ac:dyDescent="0.2">
      <c r="A642" s="1" t="s">
        <v>4264</v>
      </c>
      <c r="B642" s="1" t="s">
        <v>57</v>
      </c>
      <c r="C642" s="1" t="s">
        <v>4265</v>
      </c>
      <c r="D642" s="1" t="s">
        <v>2</v>
      </c>
      <c r="E642" s="1">
        <v>53</v>
      </c>
      <c r="F642" s="1" t="s">
        <v>3879</v>
      </c>
      <c r="H642" s="1" t="s">
        <v>4266</v>
      </c>
      <c r="I642" s="1" t="s">
        <v>7</v>
      </c>
      <c r="J642" s="1" t="s">
        <v>3881</v>
      </c>
      <c r="K642" s="1" t="s">
        <v>3882</v>
      </c>
      <c r="L642" s="1" t="s">
        <v>3881</v>
      </c>
      <c r="M642" s="1" t="s">
        <v>2890</v>
      </c>
      <c r="O642" s="1">
        <v>1</v>
      </c>
      <c r="P642" s="1" t="s">
        <v>4267</v>
      </c>
      <c r="Q642" s="1">
        <v>1999</v>
      </c>
      <c r="R642" s="1" t="s">
        <v>4268</v>
      </c>
      <c r="S642" s="1" t="s">
        <v>27</v>
      </c>
      <c r="T642" s="6">
        <v>1</v>
      </c>
      <c r="Z642" s="1">
        <v>74.3</v>
      </c>
      <c r="AA642" s="1">
        <v>6.25</v>
      </c>
      <c r="AC642" s="1">
        <v>11.076700000000001</v>
      </c>
      <c r="AH642" s="1">
        <v>2.1074000000000002</v>
      </c>
      <c r="AS642" s="1">
        <v>8.1469000000000005</v>
      </c>
      <c r="AV642" s="1">
        <v>1.7476</v>
      </c>
    </row>
    <row r="643" spans="1:163" x14ac:dyDescent="0.2">
      <c r="A643" s="1" t="s">
        <v>4269</v>
      </c>
      <c r="B643" s="1" t="s">
        <v>57</v>
      </c>
      <c r="C643" s="1" t="s">
        <v>4265</v>
      </c>
      <c r="D643" s="1" t="s">
        <v>2</v>
      </c>
      <c r="E643" s="1">
        <v>53</v>
      </c>
      <c r="F643" s="1" t="s">
        <v>3879</v>
      </c>
      <c r="H643" s="1" t="s">
        <v>4266</v>
      </c>
      <c r="I643" s="1" t="s">
        <v>7</v>
      </c>
      <c r="J643" s="1" t="s">
        <v>3881</v>
      </c>
      <c r="K643" s="1" t="s">
        <v>3882</v>
      </c>
      <c r="L643" s="1" t="s">
        <v>3881</v>
      </c>
      <c r="M643" s="1" t="s">
        <v>4270</v>
      </c>
      <c r="O643" s="1">
        <v>1</v>
      </c>
      <c r="P643" s="1" t="s">
        <v>4267</v>
      </c>
      <c r="Q643" s="1">
        <v>1999</v>
      </c>
      <c r="R643" s="1" t="s">
        <v>4268</v>
      </c>
      <c r="S643" s="1" t="s">
        <v>27</v>
      </c>
      <c r="T643" s="6">
        <v>1</v>
      </c>
      <c r="Z643" s="1">
        <v>74.099999999999994</v>
      </c>
      <c r="AA643" s="1">
        <v>6.25</v>
      </c>
      <c r="AC643" s="1">
        <v>10.8262</v>
      </c>
      <c r="AH643" s="1">
        <v>2.0461</v>
      </c>
      <c r="AS643" s="1">
        <v>8.9872999999999994</v>
      </c>
      <c r="AV643" s="1">
        <v>1.7870999999999999</v>
      </c>
    </row>
    <row r="644" spans="1:163" x14ac:dyDescent="0.2">
      <c r="A644" s="1" t="s">
        <v>4271</v>
      </c>
      <c r="B644" s="1" t="s">
        <v>57</v>
      </c>
      <c r="C644" s="1" t="s">
        <v>4265</v>
      </c>
      <c r="D644" s="1" t="s">
        <v>2</v>
      </c>
      <c r="E644" s="1">
        <v>53</v>
      </c>
      <c r="F644" s="1" t="s">
        <v>3879</v>
      </c>
      <c r="H644" s="1" t="s">
        <v>4266</v>
      </c>
      <c r="I644" s="1" t="s">
        <v>7</v>
      </c>
      <c r="J644" s="1" t="s">
        <v>3881</v>
      </c>
      <c r="K644" s="1" t="s">
        <v>3882</v>
      </c>
      <c r="L644" s="1" t="s">
        <v>3881</v>
      </c>
      <c r="M644" s="1" t="s">
        <v>749</v>
      </c>
      <c r="O644" s="1">
        <v>1</v>
      </c>
      <c r="P644" s="1" t="s">
        <v>4267</v>
      </c>
      <c r="Q644" s="1">
        <v>1999</v>
      </c>
      <c r="R644" s="1" t="s">
        <v>4268</v>
      </c>
      <c r="S644" s="1" t="s">
        <v>27</v>
      </c>
      <c r="T644" s="6">
        <v>1</v>
      </c>
      <c r="Z644" s="1">
        <v>74</v>
      </c>
      <c r="AA644" s="1">
        <v>6.25</v>
      </c>
      <c r="AC644" s="1">
        <v>10.166</v>
      </c>
      <c r="AH644" s="1">
        <v>2.1320000000000001</v>
      </c>
      <c r="AS644" s="1">
        <v>10.114000000000001</v>
      </c>
      <c r="AV644" s="1">
        <v>1.04</v>
      </c>
    </row>
    <row r="645" spans="1:163" x14ac:dyDescent="0.2">
      <c r="A645" s="1" t="s">
        <v>4272</v>
      </c>
      <c r="B645" s="1" t="s">
        <v>57</v>
      </c>
      <c r="C645" s="1" t="s">
        <v>4265</v>
      </c>
      <c r="D645" s="1" t="s">
        <v>2</v>
      </c>
      <c r="E645" s="1">
        <v>53</v>
      </c>
      <c r="F645" s="1" t="s">
        <v>3879</v>
      </c>
      <c r="H645" s="1" t="s">
        <v>4266</v>
      </c>
      <c r="I645" s="1" t="s">
        <v>7</v>
      </c>
      <c r="J645" s="1" t="s">
        <v>3881</v>
      </c>
      <c r="K645" s="1" t="s">
        <v>3882</v>
      </c>
      <c r="L645" s="1" t="s">
        <v>3881</v>
      </c>
      <c r="M645" s="1" t="s">
        <v>758</v>
      </c>
      <c r="O645" s="1">
        <v>1</v>
      </c>
      <c r="P645" s="1" t="s">
        <v>4267</v>
      </c>
      <c r="Q645" s="1">
        <v>1999</v>
      </c>
      <c r="R645" s="1" t="s">
        <v>4268</v>
      </c>
      <c r="S645" s="1" t="s">
        <v>27</v>
      </c>
      <c r="T645" s="6">
        <v>1</v>
      </c>
      <c r="Z645" s="1">
        <v>74.5</v>
      </c>
      <c r="AA645" s="1">
        <v>6.25</v>
      </c>
      <c r="AC645" s="1">
        <v>10.531499999999999</v>
      </c>
      <c r="AH645" s="1">
        <v>2.0655000000000001</v>
      </c>
      <c r="AS645" s="1">
        <v>9.4350000000000005</v>
      </c>
      <c r="AV645" s="1">
        <v>1.1984999999999999</v>
      </c>
    </row>
    <row r="646" spans="1:163" x14ac:dyDescent="0.2">
      <c r="A646" s="1" t="s">
        <v>4273</v>
      </c>
      <c r="B646" s="1" t="s">
        <v>57</v>
      </c>
      <c r="C646" s="1" t="s">
        <v>4265</v>
      </c>
      <c r="D646" s="1" t="s">
        <v>2</v>
      </c>
      <c r="E646" s="1">
        <v>53</v>
      </c>
      <c r="F646" s="1" t="s">
        <v>3879</v>
      </c>
      <c r="H646" s="1" t="s">
        <v>4266</v>
      </c>
      <c r="I646" s="1" t="s">
        <v>7</v>
      </c>
      <c r="J646" s="1" t="s">
        <v>3881</v>
      </c>
      <c r="K646" s="1" t="s">
        <v>3882</v>
      </c>
      <c r="L646" s="1" t="s">
        <v>3881</v>
      </c>
      <c r="M646" s="1" t="s">
        <v>3226</v>
      </c>
      <c r="O646" s="1">
        <v>1</v>
      </c>
      <c r="P646" s="1" t="s">
        <v>4267</v>
      </c>
      <c r="Q646" s="1">
        <v>1999</v>
      </c>
      <c r="R646" s="1" t="s">
        <v>4268</v>
      </c>
      <c r="S646" s="1" t="s">
        <v>27</v>
      </c>
      <c r="T646" s="6">
        <v>1</v>
      </c>
      <c r="Z646" s="1">
        <v>74.099999999999994</v>
      </c>
      <c r="AA646" s="1">
        <v>6.25</v>
      </c>
      <c r="AC646" s="1">
        <v>12.794600000000001</v>
      </c>
      <c r="AH646" s="1">
        <v>2.0720000000000001</v>
      </c>
      <c r="AS646" s="1">
        <v>7.3815</v>
      </c>
      <c r="AV646" s="1">
        <v>1.7870999999999999</v>
      </c>
    </row>
    <row r="647" spans="1:163" x14ac:dyDescent="0.2">
      <c r="A647" s="1" t="s">
        <v>4274</v>
      </c>
      <c r="B647" s="1" t="s">
        <v>57</v>
      </c>
      <c r="C647" s="1" t="s">
        <v>4265</v>
      </c>
      <c r="D647" s="1" t="s">
        <v>2</v>
      </c>
      <c r="E647" s="1">
        <v>53</v>
      </c>
      <c r="F647" s="1" t="s">
        <v>3879</v>
      </c>
      <c r="H647" s="1" t="s">
        <v>4266</v>
      </c>
      <c r="I647" s="1" t="s">
        <v>7</v>
      </c>
      <c r="J647" s="1" t="s">
        <v>3881</v>
      </c>
      <c r="K647" s="1" t="s">
        <v>3882</v>
      </c>
      <c r="L647" s="1" t="s">
        <v>3881</v>
      </c>
      <c r="M647" s="1" t="s">
        <v>2974</v>
      </c>
      <c r="O647" s="1">
        <v>1</v>
      </c>
      <c r="P647" s="1" t="s">
        <v>4267</v>
      </c>
      <c r="Q647" s="1">
        <v>1999</v>
      </c>
      <c r="R647" s="1" t="s">
        <v>4268</v>
      </c>
      <c r="S647" s="1" t="s">
        <v>27</v>
      </c>
      <c r="T647" s="6">
        <v>1</v>
      </c>
      <c r="Z647" s="1">
        <v>73</v>
      </c>
      <c r="AA647" s="1">
        <v>6.25</v>
      </c>
      <c r="AC647" s="1">
        <v>14.337</v>
      </c>
      <c r="AH647" s="1">
        <v>2.2949999999999999</v>
      </c>
      <c r="AS647" s="1">
        <v>6.21</v>
      </c>
      <c r="AV647" s="1">
        <v>2.1869999999999998</v>
      </c>
    </row>
    <row r="648" spans="1:163" x14ac:dyDescent="0.2">
      <c r="A648" s="1" t="s">
        <v>4275</v>
      </c>
      <c r="B648" s="1" t="s">
        <v>57</v>
      </c>
      <c r="C648" s="1" t="s">
        <v>4265</v>
      </c>
      <c r="D648" s="1" t="s">
        <v>2</v>
      </c>
      <c r="E648" s="1">
        <v>53</v>
      </c>
      <c r="F648" s="1" t="s">
        <v>3879</v>
      </c>
      <c r="H648" s="1" t="s">
        <v>4266</v>
      </c>
      <c r="I648" s="1" t="s">
        <v>7</v>
      </c>
      <c r="J648" s="1" t="s">
        <v>3881</v>
      </c>
      <c r="K648" s="1" t="s">
        <v>3882</v>
      </c>
      <c r="L648" s="1" t="s">
        <v>3881</v>
      </c>
      <c r="M648" s="1" t="s">
        <v>1293</v>
      </c>
      <c r="O648" s="1">
        <v>1</v>
      </c>
      <c r="P648" s="1" t="s">
        <v>4267</v>
      </c>
      <c r="Q648" s="1">
        <v>1999</v>
      </c>
      <c r="R648" s="1" t="s">
        <v>4268</v>
      </c>
      <c r="S648" s="1" t="s">
        <v>27</v>
      </c>
      <c r="T648" s="6">
        <v>1</v>
      </c>
      <c r="Z648" s="1" t="s">
        <v>4276</v>
      </c>
      <c r="AA648" s="1">
        <v>6.25</v>
      </c>
      <c r="AC648" s="1" t="s">
        <v>4277</v>
      </c>
      <c r="AH648" s="1" t="s">
        <v>4278</v>
      </c>
      <c r="AS648" s="1">
        <v>5.8564999999999996</v>
      </c>
      <c r="AV648" s="1">
        <v>1.9079999999999999</v>
      </c>
    </row>
    <row r="649" spans="1:163" x14ac:dyDescent="0.2">
      <c r="A649" s="1" t="s">
        <v>4279</v>
      </c>
      <c r="B649" s="1" t="s">
        <v>57</v>
      </c>
      <c r="C649" s="1" t="s">
        <v>4265</v>
      </c>
      <c r="D649" s="1" t="s">
        <v>2</v>
      </c>
      <c r="E649" s="1">
        <v>53</v>
      </c>
      <c r="F649" s="1" t="s">
        <v>3879</v>
      </c>
      <c r="H649" s="1" t="s">
        <v>4266</v>
      </c>
      <c r="I649" s="1" t="s">
        <v>7</v>
      </c>
      <c r="J649" s="1" t="s">
        <v>3881</v>
      </c>
      <c r="K649" s="1" t="s">
        <v>3882</v>
      </c>
      <c r="L649" s="1" t="s">
        <v>3881</v>
      </c>
      <c r="M649" s="1" t="s">
        <v>481</v>
      </c>
      <c r="O649" s="1">
        <v>1</v>
      </c>
      <c r="P649" s="1" t="s">
        <v>4267</v>
      </c>
      <c r="Q649" s="1">
        <v>1999</v>
      </c>
      <c r="R649" s="1" t="s">
        <v>4268</v>
      </c>
      <c r="S649" s="1" t="s">
        <v>27</v>
      </c>
      <c r="T649" s="6">
        <v>1</v>
      </c>
      <c r="Z649" s="1">
        <v>75</v>
      </c>
      <c r="AA649" s="1">
        <v>6.25</v>
      </c>
      <c r="AC649" s="1">
        <v>12.3</v>
      </c>
      <c r="AH649" s="1">
        <v>1.9750000000000001</v>
      </c>
      <c r="AS649" s="1">
        <v>5.45</v>
      </c>
      <c r="AV649" s="1">
        <v>3.0249999999999999</v>
      </c>
    </row>
    <row r="650" spans="1:163" x14ac:dyDescent="0.2">
      <c r="A650" s="1" t="s">
        <v>4280</v>
      </c>
      <c r="B650" s="1" t="s">
        <v>57</v>
      </c>
      <c r="C650" s="1" t="s">
        <v>4265</v>
      </c>
      <c r="D650" s="1" t="s">
        <v>2</v>
      </c>
      <c r="E650" s="1">
        <v>53</v>
      </c>
      <c r="F650" s="1" t="s">
        <v>3879</v>
      </c>
      <c r="H650" s="1" t="s">
        <v>4266</v>
      </c>
      <c r="I650" s="1" t="s">
        <v>7</v>
      </c>
      <c r="J650" s="1" t="s">
        <v>3881</v>
      </c>
      <c r="K650" s="1" t="s">
        <v>3882</v>
      </c>
      <c r="L650" s="1" t="s">
        <v>3881</v>
      </c>
      <c r="M650" s="1" t="s">
        <v>1284</v>
      </c>
      <c r="O650" s="1">
        <v>1</v>
      </c>
      <c r="P650" s="1" t="s">
        <v>4267</v>
      </c>
      <c r="Q650" s="1">
        <v>1999</v>
      </c>
      <c r="R650" s="1" t="s">
        <v>4268</v>
      </c>
      <c r="S650" s="1" t="s">
        <v>27</v>
      </c>
      <c r="T650" s="6">
        <v>1</v>
      </c>
      <c r="Z650" s="1" t="s">
        <v>4281</v>
      </c>
      <c r="AA650" s="1">
        <v>6.25</v>
      </c>
      <c r="AC650" s="1" t="s">
        <v>4282</v>
      </c>
      <c r="AH650" s="1" t="s">
        <v>4283</v>
      </c>
      <c r="AS650" s="1">
        <v>5.5448000000000004</v>
      </c>
      <c r="AV650" s="1">
        <v>1.8096000000000001</v>
      </c>
    </row>
    <row r="651" spans="1:163" x14ac:dyDescent="0.2">
      <c r="A651" s="1" t="s">
        <v>4284</v>
      </c>
      <c r="B651" s="1" t="s">
        <v>57</v>
      </c>
      <c r="C651" s="1" t="s">
        <v>4265</v>
      </c>
      <c r="D651" s="1" t="s">
        <v>2</v>
      </c>
      <c r="E651" s="1">
        <v>53</v>
      </c>
      <c r="F651" s="1" t="s">
        <v>3879</v>
      </c>
      <c r="H651" s="1" t="s">
        <v>4266</v>
      </c>
      <c r="I651" s="1" t="s">
        <v>7</v>
      </c>
      <c r="J651" s="1" t="s">
        <v>3881</v>
      </c>
      <c r="K651" s="1" t="s">
        <v>3882</v>
      </c>
      <c r="L651" s="1" t="s">
        <v>3881</v>
      </c>
      <c r="M651" s="1" t="s">
        <v>3316</v>
      </c>
      <c r="O651" s="1">
        <v>1</v>
      </c>
      <c r="P651" s="1" t="s">
        <v>4267</v>
      </c>
      <c r="Q651" s="1">
        <v>1999</v>
      </c>
      <c r="R651" s="1" t="s">
        <v>4268</v>
      </c>
      <c r="S651" s="1" t="s">
        <v>27</v>
      </c>
      <c r="T651" s="6">
        <v>1</v>
      </c>
      <c r="Z651" s="1" t="s">
        <v>4285</v>
      </c>
      <c r="AA651" s="1">
        <v>6.25</v>
      </c>
      <c r="AC651" s="1" t="s">
        <v>4286</v>
      </c>
      <c r="AH651" s="1" t="s">
        <v>4287</v>
      </c>
      <c r="AS651" s="1">
        <v>5.1407999999999996</v>
      </c>
      <c r="AV651" s="1">
        <v>1.6184000000000001</v>
      </c>
    </row>
    <row r="652" spans="1:163" x14ac:dyDescent="0.2">
      <c r="A652" s="1" t="s">
        <v>4288</v>
      </c>
      <c r="B652" s="1" t="s">
        <v>57</v>
      </c>
      <c r="C652" s="1" t="s">
        <v>4265</v>
      </c>
      <c r="D652" s="1" t="s">
        <v>2</v>
      </c>
      <c r="E652" s="1">
        <v>53</v>
      </c>
      <c r="F652" s="1" t="s">
        <v>3879</v>
      </c>
      <c r="H652" s="1" t="s">
        <v>4266</v>
      </c>
      <c r="I652" s="1" t="s">
        <v>7</v>
      </c>
      <c r="J652" s="1" t="s">
        <v>3881</v>
      </c>
      <c r="K652" s="1" t="s">
        <v>3882</v>
      </c>
      <c r="L652" s="1" t="s">
        <v>3881</v>
      </c>
      <c r="M652" s="1" t="s">
        <v>2967</v>
      </c>
      <c r="O652" s="1">
        <v>1</v>
      </c>
      <c r="P652" s="1" t="s">
        <v>4267</v>
      </c>
      <c r="Q652" s="1">
        <v>1999</v>
      </c>
      <c r="R652" s="1" t="s">
        <v>4268</v>
      </c>
      <c r="S652" s="1" t="s">
        <v>27</v>
      </c>
      <c r="T652" s="6">
        <v>1</v>
      </c>
      <c r="Z652" s="1">
        <v>79.5</v>
      </c>
      <c r="AA652" s="1">
        <v>6.25</v>
      </c>
      <c r="AC652" s="1">
        <v>9.9425000000000008</v>
      </c>
      <c r="AH652" s="1">
        <v>1.6605000000000001</v>
      </c>
      <c r="AS652" s="1">
        <v>5.7605000000000004</v>
      </c>
      <c r="AV652" s="1">
        <v>1.2915000000000001</v>
      </c>
    </row>
    <row r="653" spans="1:163" x14ac:dyDescent="0.2">
      <c r="A653" s="1" t="s">
        <v>4289</v>
      </c>
      <c r="B653" s="1" t="s">
        <v>57</v>
      </c>
      <c r="C653" s="1" t="s">
        <v>4265</v>
      </c>
      <c r="D653" s="1" t="s">
        <v>2</v>
      </c>
      <c r="E653" s="1">
        <v>53</v>
      </c>
      <c r="F653" s="1" t="s">
        <v>3879</v>
      </c>
      <c r="H653" s="1" t="s">
        <v>4266</v>
      </c>
      <c r="I653" s="1" t="s">
        <v>7</v>
      </c>
      <c r="J653" s="1" t="s">
        <v>3881</v>
      </c>
      <c r="K653" s="1" t="s">
        <v>3882</v>
      </c>
      <c r="L653" s="1" t="s">
        <v>3881</v>
      </c>
      <c r="M653" s="1" t="s">
        <v>817</v>
      </c>
      <c r="O653" s="1">
        <v>1</v>
      </c>
      <c r="P653" s="1" t="s">
        <v>4267</v>
      </c>
      <c r="Q653" s="1">
        <v>1999</v>
      </c>
      <c r="R653" s="1" t="s">
        <v>4268</v>
      </c>
      <c r="S653" s="1" t="s">
        <v>27</v>
      </c>
      <c r="T653" s="6">
        <v>1</v>
      </c>
      <c r="Z653" s="1">
        <v>77.3</v>
      </c>
      <c r="AA653" s="1">
        <v>6.25</v>
      </c>
      <c r="AC653" s="1">
        <v>10.1015</v>
      </c>
      <c r="AH653" s="1">
        <v>1.8613999999999999</v>
      </c>
      <c r="AS653" s="1">
        <v>7.2186000000000003</v>
      </c>
      <c r="AV653" s="1">
        <v>2.3607999999999998</v>
      </c>
    </row>
    <row r="654" spans="1:163" x14ac:dyDescent="0.2">
      <c r="A654" s="1" t="s">
        <v>4290</v>
      </c>
      <c r="B654" s="1" t="s">
        <v>57</v>
      </c>
      <c r="C654" s="1" t="s">
        <v>4265</v>
      </c>
      <c r="D654" s="1" t="s">
        <v>2</v>
      </c>
      <c r="E654" s="1">
        <v>53</v>
      </c>
      <c r="F654" s="1" t="s">
        <v>3879</v>
      </c>
      <c r="H654" s="1" t="s">
        <v>4266</v>
      </c>
      <c r="I654" s="1" t="s">
        <v>7</v>
      </c>
      <c r="J654" s="1" t="s">
        <v>3881</v>
      </c>
      <c r="K654" s="1" t="s">
        <v>3882</v>
      </c>
      <c r="L654" s="1" t="s">
        <v>3881</v>
      </c>
      <c r="M654" s="1" t="s">
        <v>2890</v>
      </c>
      <c r="O654" s="1">
        <v>1</v>
      </c>
      <c r="P654" s="1" t="s">
        <v>4267</v>
      </c>
      <c r="Q654" s="1">
        <v>1999</v>
      </c>
      <c r="R654" s="1" t="s">
        <v>4268</v>
      </c>
      <c r="S654" s="1" t="s">
        <v>27</v>
      </c>
      <c r="T654" s="6">
        <v>1</v>
      </c>
      <c r="Z654" s="1">
        <v>76.099999999999994</v>
      </c>
      <c r="AA654" s="1">
        <v>6.25</v>
      </c>
      <c r="AC654" s="1">
        <v>10.898400000000001</v>
      </c>
      <c r="AH654" s="1">
        <v>2.0554000000000001</v>
      </c>
      <c r="AS654" s="1">
        <v>7.5523999999999996</v>
      </c>
      <c r="AV654" s="1">
        <v>2.4138999999999999</v>
      </c>
    </row>
    <row r="655" spans="1:163" x14ac:dyDescent="0.2">
      <c r="A655" s="1" t="s">
        <v>4291</v>
      </c>
      <c r="B655" s="1" t="s">
        <v>57</v>
      </c>
      <c r="C655" s="1" t="s">
        <v>4292</v>
      </c>
      <c r="E655" s="1">
        <v>53</v>
      </c>
      <c r="F655" s="1" t="s">
        <v>3879</v>
      </c>
      <c r="H655" s="1" t="s">
        <v>4293</v>
      </c>
      <c r="I655" s="1" t="s">
        <v>7</v>
      </c>
      <c r="J655" s="1" t="s">
        <v>4294</v>
      </c>
      <c r="K655" s="1" t="s">
        <v>3882</v>
      </c>
      <c r="L655" s="1" t="s">
        <v>3881</v>
      </c>
      <c r="M655" s="1" t="s">
        <v>4295</v>
      </c>
      <c r="P655" s="1" t="s">
        <v>4296</v>
      </c>
      <c r="Q655" s="1">
        <v>1990</v>
      </c>
      <c r="R655" s="1" t="s">
        <v>4297</v>
      </c>
      <c r="S655" s="1" t="s">
        <v>27</v>
      </c>
      <c r="T655" s="6">
        <v>1</v>
      </c>
      <c r="Z655" s="1">
        <v>87.1</v>
      </c>
      <c r="AJ655" s="1">
        <v>1.46</v>
      </c>
    </row>
    <row r="656" spans="1:163" x14ac:dyDescent="0.2">
      <c r="A656" s="1" t="s">
        <v>4298</v>
      </c>
      <c r="B656" s="1" t="s">
        <v>57</v>
      </c>
      <c r="C656" s="1" t="s">
        <v>4292</v>
      </c>
      <c r="E656" s="1">
        <v>53</v>
      </c>
      <c r="F656" s="1" t="s">
        <v>3879</v>
      </c>
      <c r="H656" s="1" t="s">
        <v>4293</v>
      </c>
      <c r="I656" s="1" t="s">
        <v>7</v>
      </c>
      <c r="J656" s="1" t="s">
        <v>4294</v>
      </c>
      <c r="K656" s="1" t="s">
        <v>3882</v>
      </c>
      <c r="L656" s="1" t="s">
        <v>3881</v>
      </c>
      <c r="M656" s="1" t="s">
        <v>4299</v>
      </c>
      <c r="P656" s="1" t="s">
        <v>4296</v>
      </c>
      <c r="Q656" s="1">
        <v>1990</v>
      </c>
      <c r="R656" s="1" t="s">
        <v>4297</v>
      </c>
      <c r="S656" s="1" t="s">
        <v>27</v>
      </c>
      <c r="T656" s="6">
        <v>1</v>
      </c>
      <c r="Z656" s="1">
        <v>84.7</v>
      </c>
      <c r="AJ656" s="1">
        <v>2.84</v>
      </c>
    </row>
    <row r="657" spans="1:36" x14ac:dyDescent="0.2">
      <c r="A657" s="1" t="s">
        <v>4300</v>
      </c>
      <c r="B657" s="1" t="s">
        <v>57</v>
      </c>
      <c r="C657" s="1" t="s">
        <v>4292</v>
      </c>
      <c r="E657" s="1">
        <v>53</v>
      </c>
      <c r="F657" s="1" t="s">
        <v>3879</v>
      </c>
      <c r="H657" s="1" t="s">
        <v>4293</v>
      </c>
      <c r="I657" s="1" t="s">
        <v>7</v>
      </c>
      <c r="J657" s="1" t="s">
        <v>4294</v>
      </c>
      <c r="K657" s="1" t="s">
        <v>3882</v>
      </c>
      <c r="L657" s="1" t="s">
        <v>3881</v>
      </c>
      <c r="M657" s="1" t="s">
        <v>4301</v>
      </c>
      <c r="P657" s="1" t="s">
        <v>4296</v>
      </c>
      <c r="Q657" s="1">
        <v>1990</v>
      </c>
      <c r="R657" s="1" t="s">
        <v>4297</v>
      </c>
      <c r="S657" s="1" t="s">
        <v>27</v>
      </c>
      <c r="T657" s="6">
        <v>1</v>
      </c>
      <c r="Z657" s="1">
        <v>84.2</v>
      </c>
      <c r="AJ657" s="1">
        <v>2.64</v>
      </c>
    </row>
    <row r="658" spans="1:36" x14ac:dyDescent="0.2">
      <c r="A658" s="1" t="s">
        <v>4302</v>
      </c>
      <c r="B658" s="1" t="s">
        <v>57</v>
      </c>
      <c r="C658" s="1" t="s">
        <v>4303</v>
      </c>
      <c r="E658" s="1">
        <v>54</v>
      </c>
      <c r="F658" s="1" t="s">
        <v>1918</v>
      </c>
      <c r="H658" s="1" t="s">
        <v>4304</v>
      </c>
      <c r="I658" s="1" t="s">
        <v>11</v>
      </c>
      <c r="J658" s="1" t="s">
        <v>1920</v>
      </c>
      <c r="K658" s="1" t="s">
        <v>1921</v>
      </c>
      <c r="L658" s="1" t="s">
        <v>1920</v>
      </c>
      <c r="M658" s="1" t="s">
        <v>4295</v>
      </c>
      <c r="P658" s="1" t="s">
        <v>4296</v>
      </c>
      <c r="Q658" s="1">
        <v>1990</v>
      </c>
      <c r="R658" s="1" t="s">
        <v>4297</v>
      </c>
      <c r="S658" s="1" t="s">
        <v>27</v>
      </c>
      <c r="T658" s="6">
        <v>1</v>
      </c>
      <c r="Z658" s="1">
        <v>74.5</v>
      </c>
      <c r="AJ658" s="1">
        <v>3.64</v>
      </c>
    </row>
    <row r="659" spans="1:36" x14ac:dyDescent="0.2">
      <c r="A659" s="1" t="s">
        <v>4305</v>
      </c>
      <c r="B659" s="1" t="s">
        <v>57</v>
      </c>
      <c r="C659" s="1" t="s">
        <v>4303</v>
      </c>
      <c r="E659" s="1">
        <v>54</v>
      </c>
      <c r="F659" s="1" t="s">
        <v>1918</v>
      </c>
      <c r="H659" s="1" t="s">
        <v>4304</v>
      </c>
      <c r="I659" s="1" t="s">
        <v>11</v>
      </c>
      <c r="J659" s="1" t="s">
        <v>1920</v>
      </c>
      <c r="K659" s="1" t="s">
        <v>1921</v>
      </c>
      <c r="L659" s="1" t="s">
        <v>1920</v>
      </c>
      <c r="M659" s="1" t="s">
        <v>4299</v>
      </c>
      <c r="P659" s="1" t="s">
        <v>4296</v>
      </c>
      <c r="Q659" s="1">
        <v>1990</v>
      </c>
      <c r="R659" s="1" t="s">
        <v>4297</v>
      </c>
      <c r="S659" s="1" t="s">
        <v>27</v>
      </c>
      <c r="T659" s="6">
        <v>1</v>
      </c>
      <c r="Z659" s="1">
        <v>74.2</v>
      </c>
      <c r="AJ659" s="1">
        <v>6.46</v>
      </c>
    </row>
    <row r="660" spans="1:36" x14ac:dyDescent="0.2">
      <c r="A660" s="1" t="s">
        <v>4306</v>
      </c>
      <c r="B660" s="1" t="s">
        <v>57</v>
      </c>
      <c r="C660" s="1" t="s">
        <v>4303</v>
      </c>
      <c r="E660" s="1">
        <v>54</v>
      </c>
      <c r="F660" s="1" t="s">
        <v>1918</v>
      </c>
      <c r="H660" s="1" t="s">
        <v>4304</v>
      </c>
      <c r="I660" s="1" t="s">
        <v>11</v>
      </c>
      <c r="J660" s="1" t="s">
        <v>1920</v>
      </c>
      <c r="K660" s="1" t="s">
        <v>1921</v>
      </c>
      <c r="L660" s="1" t="s">
        <v>1920</v>
      </c>
      <c r="M660" s="1" t="s">
        <v>4307</v>
      </c>
      <c r="P660" s="1" t="s">
        <v>4296</v>
      </c>
      <c r="Q660" s="1">
        <v>1990</v>
      </c>
      <c r="R660" s="1" t="s">
        <v>4297</v>
      </c>
      <c r="S660" s="1" t="s">
        <v>27</v>
      </c>
      <c r="T660" s="6">
        <v>1</v>
      </c>
      <c r="Z660" s="1">
        <v>75.599999999999994</v>
      </c>
      <c r="AJ660" s="1">
        <v>2.17</v>
      </c>
    </row>
    <row r="661" spans="1:36" x14ac:dyDescent="0.2">
      <c r="A661" s="1" t="s">
        <v>4308</v>
      </c>
      <c r="B661" s="1" t="s">
        <v>57</v>
      </c>
      <c r="C661" s="1" t="s">
        <v>4309</v>
      </c>
      <c r="E661" s="1">
        <v>56</v>
      </c>
      <c r="F661" s="1" t="s">
        <v>4310</v>
      </c>
      <c r="H661" s="1" t="s">
        <v>4311</v>
      </c>
      <c r="I661" s="1" t="s">
        <v>11</v>
      </c>
      <c r="J661" s="1" t="s">
        <v>4312</v>
      </c>
      <c r="L661" s="1" t="s">
        <v>4313</v>
      </c>
      <c r="M661" s="1" t="s">
        <v>4299</v>
      </c>
      <c r="P661" s="1" t="s">
        <v>4296</v>
      </c>
      <c r="Q661" s="1">
        <v>1990</v>
      </c>
      <c r="R661" s="1" t="s">
        <v>4297</v>
      </c>
      <c r="S661" s="1" t="s">
        <v>27</v>
      </c>
      <c r="T661" s="6">
        <v>1</v>
      </c>
      <c r="Z661" s="1">
        <v>75</v>
      </c>
      <c r="AJ661" s="1">
        <v>2.29</v>
      </c>
    </row>
    <row r="662" spans="1:36" x14ac:dyDescent="0.2">
      <c r="A662" s="1" t="s">
        <v>4314</v>
      </c>
      <c r="B662" s="1" t="s">
        <v>57</v>
      </c>
      <c r="C662" s="1" t="s">
        <v>4309</v>
      </c>
      <c r="E662" s="1">
        <v>56</v>
      </c>
      <c r="F662" s="1" t="s">
        <v>4310</v>
      </c>
      <c r="H662" s="1" t="s">
        <v>4311</v>
      </c>
      <c r="I662" s="1" t="s">
        <v>11</v>
      </c>
      <c r="J662" s="1" t="s">
        <v>4312</v>
      </c>
      <c r="L662" s="1" t="s">
        <v>4313</v>
      </c>
      <c r="M662" s="1" t="s">
        <v>4301</v>
      </c>
      <c r="P662" s="1" t="s">
        <v>4296</v>
      </c>
      <c r="Q662" s="1">
        <v>1990</v>
      </c>
      <c r="R662" s="1" t="s">
        <v>4297</v>
      </c>
      <c r="S662" s="1" t="s">
        <v>27</v>
      </c>
      <c r="T662" s="6">
        <v>1</v>
      </c>
      <c r="Z662" s="1">
        <v>72.599999999999994</v>
      </c>
      <c r="AJ662" s="1">
        <v>2.21</v>
      </c>
    </row>
    <row r="663" spans="1:36" x14ac:dyDescent="0.2">
      <c r="A663" s="1" t="s">
        <v>4315</v>
      </c>
      <c r="B663" s="1" t="s">
        <v>57</v>
      </c>
      <c r="C663" s="1" t="s">
        <v>4309</v>
      </c>
      <c r="E663" s="1">
        <v>56</v>
      </c>
      <c r="F663" s="1" t="s">
        <v>4310</v>
      </c>
      <c r="H663" s="1" t="s">
        <v>4311</v>
      </c>
      <c r="I663" s="1" t="s">
        <v>11</v>
      </c>
      <c r="J663" s="1" t="s">
        <v>4312</v>
      </c>
      <c r="L663" s="1" t="s">
        <v>4313</v>
      </c>
      <c r="M663" s="1" t="s">
        <v>4307</v>
      </c>
      <c r="P663" s="1" t="s">
        <v>4296</v>
      </c>
      <c r="Q663" s="1">
        <v>1990</v>
      </c>
      <c r="R663" s="1" t="s">
        <v>4297</v>
      </c>
      <c r="S663" s="1" t="s">
        <v>27</v>
      </c>
      <c r="T663" s="6">
        <v>1</v>
      </c>
      <c r="Z663" s="1">
        <v>76.900000000000006</v>
      </c>
      <c r="AJ663" s="1">
        <v>2.1800000000000002</v>
      </c>
    </row>
    <row r="664" spans="1:36" x14ac:dyDescent="0.2">
      <c r="A664" s="1" t="s">
        <v>4316</v>
      </c>
      <c r="B664" s="1" t="s">
        <v>57</v>
      </c>
      <c r="C664" s="1" t="s">
        <v>4309</v>
      </c>
      <c r="E664" s="1">
        <v>56</v>
      </c>
      <c r="F664" s="1" t="s">
        <v>4310</v>
      </c>
      <c r="H664" s="1" t="s">
        <v>4317</v>
      </c>
      <c r="I664" s="1" t="s">
        <v>7</v>
      </c>
      <c r="J664" s="1" t="s">
        <v>4312</v>
      </c>
      <c r="L664" s="1" t="s">
        <v>4313</v>
      </c>
      <c r="M664" s="1" t="s">
        <v>4299</v>
      </c>
      <c r="P664" s="1" t="s">
        <v>4296</v>
      </c>
      <c r="Q664" s="1">
        <v>1990</v>
      </c>
      <c r="R664" s="1" t="s">
        <v>4297</v>
      </c>
      <c r="S664" s="1" t="s">
        <v>27</v>
      </c>
      <c r="T664" s="6">
        <v>1</v>
      </c>
      <c r="Z664" s="1">
        <v>75.900000000000006</v>
      </c>
      <c r="AJ664" s="1">
        <v>1.92</v>
      </c>
    </row>
    <row r="665" spans="1:36" x14ac:dyDescent="0.2">
      <c r="A665" s="1" t="s">
        <v>4318</v>
      </c>
      <c r="B665" s="1" t="s">
        <v>57</v>
      </c>
      <c r="C665" s="1" t="s">
        <v>4309</v>
      </c>
      <c r="E665" s="1">
        <v>56</v>
      </c>
      <c r="F665" s="1" t="s">
        <v>4310</v>
      </c>
      <c r="H665" s="1" t="s">
        <v>4317</v>
      </c>
      <c r="I665" s="1" t="s">
        <v>7</v>
      </c>
      <c r="J665" s="1" t="s">
        <v>4312</v>
      </c>
      <c r="L665" s="1" t="s">
        <v>4313</v>
      </c>
      <c r="M665" s="1" t="s">
        <v>4301</v>
      </c>
      <c r="P665" s="1" t="s">
        <v>4296</v>
      </c>
      <c r="Q665" s="1">
        <v>1990</v>
      </c>
      <c r="R665" s="1" t="s">
        <v>4297</v>
      </c>
      <c r="S665" s="1" t="s">
        <v>27</v>
      </c>
      <c r="T665" s="6">
        <v>1</v>
      </c>
      <c r="Z665" s="1">
        <v>77.2</v>
      </c>
      <c r="AJ665" s="1">
        <v>1.43</v>
      </c>
    </row>
    <row r="666" spans="1:36" x14ac:dyDescent="0.2">
      <c r="A666" s="1" t="s">
        <v>4319</v>
      </c>
      <c r="B666" s="1" t="s">
        <v>57</v>
      </c>
      <c r="C666" s="1" t="s">
        <v>4320</v>
      </c>
      <c r="E666" s="1">
        <v>57</v>
      </c>
      <c r="F666" s="1" t="s">
        <v>4321</v>
      </c>
      <c r="H666" s="1" t="s">
        <v>4322</v>
      </c>
      <c r="I666" s="1" t="s">
        <v>7</v>
      </c>
      <c r="J666" s="1" t="s">
        <v>4323</v>
      </c>
      <c r="K666" s="1" t="s">
        <v>4324</v>
      </c>
      <c r="L666" s="1" t="s">
        <v>4323</v>
      </c>
      <c r="M666" s="1" t="s">
        <v>4299</v>
      </c>
      <c r="P666" s="1" t="s">
        <v>4296</v>
      </c>
      <c r="Q666" s="1">
        <v>1990</v>
      </c>
      <c r="R666" s="1" t="s">
        <v>4297</v>
      </c>
      <c r="S666" s="1" t="s">
        <v>27</v>
      </c>
      <c r="T666" s="6">
        <v>1</v>
      </c>
      <c r="Z666" s="1">
        <v>82.7</v>
      </c>
      <c r="AJ666" s="1">
        <v>1.76</v>
      </c>
    </row>
    <row r="667" spans="1:36" x14ac:dyDescent="0.2">
      <c r="A667" s="1" t="s">
        <v>4325</v>
      </c>
      <c r="B667" s="1" t="s">
        <v>57</v>
      </c>
      <c r="C667" s="1" t="s">
        <v>4320</v>
      </c>
      <c r="E667" s="1">
        <v>57</v>
      </c>
      <c r="F667" s="1" t="s">
        <v>4321</v>
      </c>
      <c r="H667" s="1" t="s">
        <v>4322</v>
      </c>
      <c r="I667" s="1" t="s">
        <v>7</v>
      </c>
      <c r="J667" s="1" t="s">
        <v>4323</v>
      </c>
      <c r="K667" s="1" t="s">
        <v>4324</v>
      </c>
      <c r="L667" s="1" t="s">
        <v>4323</v>
      </c>
      <c r="M667" s="1" t="s">
        <v>4301</v>
      </c>
      <c r="P667" s="1" t="s">
        <v>4296</v>
      </c>
      <c r="Q667" s="1">
        <v>1990</v>
      </c>
      <c r="R667" s="1" t="s">
        <v>4297</v>
      </c>
      <c r="S667" s="1" t="s">
        <v>27</v>
      </c>
      <c r="T667" s="6">
        <v>1</v>
      </c>
      <c r="Z667" s="1">
        <v>76.2</v>
      </c>
      <c r="AJ667" s="1">
        <v>1.24</v>
      </c>
    </row>
    <row r="668" spans="1:36" x14ac:dyDescent="0.2">
      <c r="A668" s="1" t="s">
        <v>4326</v>
      </c>
      <c r="B668" s="1" t="s">
        <v>57</v>
      </c>
      <c r="C668" s="1" t="s">
        <v>4327</v>
      </c>
      <c r="E668" s="1">
        <v>55</v>
      </c>
      <c r="F668" s="1" t="s">
        <v>4328</v>
      </c>
      <c r="H668" s="1" t="s">
        <v>4329</v>
      </c>
      <c r="I668" s="1" t="s">
        <v>7</v>
      </c>
      <c r="J668" s="1" t="s">
        <v>4330</v>
      </c>
      <c r="K668" s="1" t="s">
        <v>4331</v>
      </c>
      <c r="L668" s="1" t="s">
        <v>4332</v>
      </c>
      <c r="M668" s="1" t="s">
        <v>4295</v>
      </c>
      <c r="P668" s="1" t="s">
        <v>4296</v>
      </c>
      <c r="Q668" s="1">
        <v>1990</v>
      </c>
      <c r="R668" s="1" t="s">
        <v>4297</v>
      </c>
      <c r="S668" s="1" t="s">
        <v>27</v>
      </c>
      <c r="T668" s="6">
        <v>1</v>
      </c>
      <c r="Z668" s="1">
        <v>87.8</v>
      </c>
      <c r="AJ668" s="1">
        <v>0.66</v>
      </c>
    </row>
    <row r="669" spans="1:36" x14ac:dyDescent="0.2">
      <c r="A669" s="1" t="s">
        <v>4333</v>
      </c>
      <c r="B669" s="1" t="s">
        <v>57</v>
      </c>
      <c r="C669" s="1" t="s">
        <v>4327</v>
      </c>
      <c r="E669" s="1">
        <v>55</v>
      </c>
      <c r="F669" s="1" t="s">
        <v>4328</v>
      </c>
      <c r="H669" s="1" t="s">
        <v>4329</v>
      </c>
      <c r="I669" s="1" t="s">
        <v>7</v>
      </c>
      <c r="J669" s="1" t="s">
        <v>4330</v>
      </c>
      <c r="K669" s="1" t="s">
        <v>4331</v>
      </c>
      <c r="L669" s="1" t="s">
        <v>4332</v>
      </c>
      <c r="M669" s="1" t="s">
        <v>4307</v>
      </c>
      <c r="P669" s="1" t="s">
        <v>4296</v>
      </c>
      <c r="Q669" s="1">
        <v>1990</v>
      </c>
      <c r="R669" s="1" t="s">
        <v>4297</v>
      </c>
      <c r="S669" s="1" t="s">
        <v>27</v>
      </c>
      <c r="T669" s="6">
        <v>1</v>
      </c>
      <c r="Z669" s="1">
        <v>84.5</v>
      </c>
      <c r="AJ669" s="1">
        <v>0.68</v>
      </c>
    </row>
    <row r="670" spans="1:36" x14ac:dyDescent="0.2">
      <c r="A670" s="1" t="s">
        <v>4334</v>
      </c>
      <c r="B670" s="1" t="s">
        <v>57</v>
      </c>
      <c r="C670" s="1" t="s">
        <v>4335</v>
      </c>
      <c r="E670" s="1">
        <v>55</v>
      </c>
      <c r="F670" s="1" t="s">
        <v>4336</v>
      </c>
      <c r="H670" s="1" t="s">
        <v>4337</v>
      </c>
      <c r="I670" s="1" t="s">
        <v>7</v>
      </c>
      <c r="J670" s="1" t="s">
        <v>4338</v>
      </c>
      <c r="K670" s="1" t="s">
        <v>4339</v>
      </c>
      <c r="L670" s="1" t="s">
        <v>4338</v>
      </c>
      <c r="M670" s="1" t="s">
        <v>4295</v>
      </c>
      <c r="P670" s="1" t="s">
        <v>4296</v>
      </c>
      <c r="Q670" s="1">
        <v>1990</v>
      </c>
      <c r="R670" s="1" t="s">
        <v>4297</v>
      </c>
      <c r="S670" s="1" t="s">
        <v>27</v>
      </c>
      <c r="T670" s="6">
        <v>1</v>
      </c>
      <c r="Z670" s="1">
        <v>77.400000000000006</v>
      </c>
      <c r="AJ670" s="1">
        <v>1.1399999999999999</v>
      </c>
    </row>
    <row r="671" spans="1:36" x14ac:dyDescent="0.2">
      <c r="A671" s="1" t="s">
        <v>4340</v>
      </c>
      <c r="B671" s="1" t="s">
        <v>57</v>
      </c>
      <c r="C671" s="1" t="s">
        <v>4335</v>
      </c>
      <c r="E671" s="1">
        <v>55</v>
      </c>
      <c r="F671" s="1" t="s">
        <v>4336</v>
      </c>
      <c r="H671" s="1" t="s">
        <v>4337</v>
      </c>
      <c r="I671" s="1" t="s">
        <v>7</v>
      </c>
      <c r="J671" s="1" t="s">
        <v>4338</v>
      </c>
      <c r="K671" s="1" t="s">
        <v>4339</v>
      </c>
      <c r="L671" s="1" t="s">
        <v>4338</v>
      </c>
      <c r="M671" s="1" t="s">
        <v>4307</v>
      </c>
      <c r="P671" s="1" t="s">
        <v>4296</v>
      </c>
      <c r="Q671" s="1">
        <v>1990</v>
      </c>
      <c r="R671" s="1" t="s">
        <v>4297</v>
      </c>
      <c r="S671" s="1" t="s">
        <v>27</v>
      </c>
      <c r="T671" s="6">
        <v>1</v>
      </c>
      <c r="Z671" s="1">
        <v>80.099999999999994</v>
      </c>
      <c r="AJ671" s="1">
        <v>0.77</v>
      </c>
    </row>
    <row r="672" spans="1:36" x14ac:dyDescent="0.2">
      <c r="A672" s="1" t="s">
        <v>4341</v>
      </c>
      <c r="B672" s="1" t="s">
        <v>1912</v>
      </c>
      <c r="C672" s="1" t="s">
        <v>4342</v>
      </c>
      <c r="E672" s="1">
        <v>42</v>
      </c>
      <c r="F672" s="1" t="s">
        <v>3798</v>
      </c>
      <c r="H672" s="1" t="s">
        <v>4343</v>
      </c>
      <c r="I672" s="1" t="s">
        <v>11</v>
      </c>
      <c r="J672" s="1" t="s">
        <v>3800</v>
      </c>
      <c r="K672" s="1" t="s">
        <v>3801</v>
      </c>
      <c r="L672" s="1" t="s">
        <v>3800</v>
      </c>
      <c r="M672" s="1" t="s">
        <v>4295</v>
      </c>
      <c r="P672" s="1" t="s">
        <v>4344</v>
      </c>
      <c r="Q672" s="1">
        <v>1990</v>
      </c>
      <c r="R672" s="1" t="s">
        <v>4297</v>
      </c>
      <c r="S672" s="1" t="s">
        <v>27</v>
      </c>
      <c r="T672" s="6">
        <v>1</v>
      </c>
      <c r="Z672" s="1">
        <v>78.8</v>
      </c>
      <c r="AJ672" s="1">
        <v>1.32</v>
      </c>
    </row>
    <row r="673" spans="1:168" x14ac:dyDescent="0.2">
      <c r="A673" s="1" t="s">
        <v>4345</v>
      </c>
      <c r="B673" s="1" t="s">
        <v>1912</v>
      </c>
      <c r="C673" s="1" t="s">
        <v>4342</v>
      </c>
      <c r="E673" s="1">
        <v>42</v>
      </c>
      <c r="F673" s="1" t="s">
        <v>3798</v>
      </c>
      <c r="H673" s="1" t="s">
        <v>4343</v>
      </c>
      <c r="I673" s="1" t="s">
        <v>11</v>
      </c>
      <c r="J673" s="1" t="s">
        <v>3800</v>
      </c>
      <c r="K673" s="1" t="s">
        <v>3801</v>
      </c>
      <c r="L673" s="1" t="s">
        <v>3800</v>
      </c>
      <c r="M673" s="1" t="s">
        <v>4295</v>
      </c>
      <c r="P673" s="1" t="s">
        <v>4344</v>
      </c>
      <c r="Q673" s="1">
        <v>1990</v>
      </c>
      <c r="R673" s="1" t="s">
        <v>4297</v>
      </c>
      <c r="S673" s="1" t="s">
        <v>27</v>
      </c>
      <c r="T673" s="6">
        <v>1</v>
      </c>
      <c r="Z673" s="1">
        <v>78.2</v>
      </c>
      <c r="AJ673" s="1">
        <v>1.31</v>
      </c>
    </row>
    <row r="674" spans="1:168" x14ac:dyDescent="0.2">
      <c r="A674" s="1" t="s">
        <v>4346</v>
      </c>
      <c r="B674" s="1" t="s">
        <v>1912</v>
      </c>
      <c r="C674" s="1" t="s">
        <v>4347</v>
      </c>
      <c r="E674" s="1">
        <v>42</v>
      </c>
      <c r="F674" s="1" t="s">
        <v>3798</v>
      </c>
      <c r="H674" s="1" t="s">
        <v>4343</v>
      </c>
      <c r="I674" s="1" t="s">
        <v>11</v>
      </c>
      <c r="J674" s="1" t="s">
        <v>3800</v>
      </c>
      <c r="K674" s="1" t="s">
        <v>3801</v>
      </c>
      <c r="L674" s="1" t="s">
        <v>3800</v>
      </c>
      <c r="M674" s="1" t="s">
        <v>4307</v>
      </c>
      <c r="P674" s="1" t="s">
        <v>4344</v>
      </c>
      <c r="Q674" s="1">
        <v>1990</v>
      </c>
      <c r="R674" s="1" t="s">
        <v>4297</v>
      </c>
      <c r="S674" s="1" t="s">
        <v>27</v>
      </c>
      <c r="T674" s="6">
        <v>1</v>
      </c>
      <c r="Z674" s="1">
        <v>76</v>
      </c>
      <c r="AJ674" s="1">
        <v>1.04</v>
      </c>
    </row>
    <row r="675" spans="1:168" x14ac:dyDescent="0.2">
      <c r="A675" s="1" t="s">
        <v>4348</v>
      </c>
      <c r="B675" s="1" t="s">
        <v>1912</v>
      </c>
      <c r="C675" s="1" t="s">
        <v>4342</v>
      </c>
      <c r="E675" s="1">
        <v>45</v>
      </c>
      <c r="F675" s="1" t="s">
        <v>4349</v>
      </c>
      <c r="H675" s="1" t="s">
        <v>4350</v>
      </c>
      <c r="I675" s="1" t="s">
        <v>11</v>
      </c>
      <c r="J675" s="1" t="s">
        <v>4351</v>
      </c>
      <c r="K675" s="1" t="s">
        <v>4352</v>
      </c>
      <c r="L675" s="1" t="s">
        <v>4351</v>
      </c>
      <c r="M675" s="1" t="s">
        <v>4299</v>
      </c>
      <c r="P675" s="1" t="s">
        <v>4344</v>
      </c>
      <c r="Q675" s="1">
        <v>1990</v>
      </c>
      <c r="R675" s="1" t="s">
        <v>4297</v>
      </c>
      <c r="S675" s="1" t="s">
        <v>27</v>
      </c>
      <c r="T675" s="6">
        <v>1</v>
      </c>
      <c r="Z675" s="1">
        <v>79.099999999999994</v>
      </c>
      <c r="AJ675" s="1">
        <v>1.19</v>
      </c>
    </row>
    <row r="676" spans="1:168" x14ac:dyDescent="0.2">
      <c r="A676" s="1" t="s">
        <v>4353</v>
      </c>
      <c r="B676" s="1" t="s">
        <v>1912</v>
      </c>
      <c r="C676" s="1" t="s">
        <v>4347</v>
      </c>
      <c r="E676" s="1">
        <v>45</v>
      </c>
      <c r="F676" s="1" t="s">
        <v>4349</v>
      </c>
      <c r="H676" s="1" t="s">
        <v>4350</v>
      </c>
      <c r="I676" s="1" t="s">
        <v>11</v>
      </c>
      <c r="J676" s="1" t="s">
        <v>4351</v>
      </c>
      <c r="K676" s="1" t="s">
        <v>4352</v>
      </c>
      <c r="L676" s="1" t="s">
        <v>4351</v>
      </c>
      <c r="M676" s="1" t="s">
        <v>4307</v>
      </c>
      <c r="P676" s="1" t="s">
        <v>4344</v>
      </c>
      <c r="Q676" s="1">
        <v>1990</v>
      </c>
      <c r="R676" s="1" t="s">
        <v>4297</v>
      </c>
      <c r="S676" s="1" t="s">
        <v>27</v>
      </c>
      <c r="T676" s="6">
        <v>1</v>
      </c>
      <c r="Z676" s="1">
        <v>76.5</v>
      </c>
      <c r="AJ676" s="1">
        <v>1.34</v>
      </c>
    </row>
    <row r="677" spans="1:168" x14ac:dyDescent="0.2">
      <c r="A677" s="1" t="s">
        <v>4354</v>
      </c>
      <c r="B677" s="1" t="s">
        <v>57</v>
      </c>
      <c r="C677" s="1" t="s">
        <v>4292</v>
      </c>
      <c r="E677" s="1">
        <v>53</v>
      </c>
      <c r="F677" s="1" t="s">
        <v>3879</v>
      </c>
      <c r="H677" s="1" t="s">
        <v>4293</v>
      </c>
      <c r="I677" s="1" t="s">
        <v>7</v>
      </c>
      <c r="J677" s="1" t="s">
        <v>4294</v>
      </c>
      <c r="K677" s="1" t="s">
        <v>3882</v>
      </c>
      <c r="L677" s="1" t="s">
        <v>3881</v>
      </c>
      <c r="M677" s="1" t="s">
        <v>4355</v>
      </c>
      <c r="P677" s="1" t="s">
        <v>4296</v>
      </c>
      <c r="Q677" s="1">
        <v>1990</v>
      </c>
      <c r="R677" s="1" t="s">
        <v>4297</v>
      </c>
      <c r="S677" s="1" t="s">
        <v>27</v>
      </c>
      <c r="T677" s="6">
        <v>1</v>
      </c>
      <c r="W677" s="1">
        <v>74</v>
      </c>
      <c r="Z677" s="1" t="s">
        <v>4356</v>
      </c>
      <c r="AE677" s="1" t="s">
        <v>4357</v>
      </c>
      <c r="AJ677" s="1" t="s">
        <v>4358</v>
      </c>
      <c r="AK677" s="1">
        <v>0.504671804</v>
      </c>
      <c r="AL677" s="1">
        <v>0.39222503600000003</v>
      </c>
      <c r="AM677" s="1">
        <v>0.79898400800000002</v>
      </c>
      <c r="AN677" s="1">
        <v>0.21647915200000001</v>
      </c>
      <c r="AQ677" s="1">
        <v>4.0999999999999996</v>
      </c>
      <c r="AV677" s="1" t="s">
        <v>4359</v>
      </c>
      <c r="EW677" s="1">
        <v>48</v>
      </c>
      <c r="FI677" s="1">
        <v>8</v>
      </c>
      <c r="FJ677" s="1">
        <v>6</v>
      </c>
      <c r="FK677" s="1">
        <v>31</v>
      </c>
      <c r="FL677" s="1">
        <v>19</v>
      </c>
    </row>
    <row r="678" spans="1:168" x14ac:dyDescent="0.2">
      <c r="A678" s="1" t="s">
        <v>4360</v>
      </c>
      <c r="B678" s="1" t="s">
        <v>57</v>
      </c>
      <c r="C678" s="1" t="s">
        <v>4320</v>
      </c>
      <c r="E678" s="1">
        <v>57</v>
      </c>
      <c r="F678" s="1" t="s">
        <v>4321</v>
      </c>
      <c r="H678" s="1" t="s">
        <v>4322</v>
      </c>
      <c r="I678" s="1" t="s">
        <v>7</v>
      </c>
      <c r="J678" s="1" t="s">
        <v>4323</v>
      </c>
      <c r="K678" s="1" t="s">
        <v>4324</v>
      </c>
      <c r="L678" s="1" t="s">
        <v>4323</v>
      </c>
      <c r="M678" s="1" t="s">
        <v>4361</v>
      </c>
      <c r="P678" s="1" t="s">
        <v>4296</v>
      </c>
      <c r="Q678" s="1">
        <v>1990</v>
      </c>
      <c r="R678" s="1" t="s">
        <v>4297</v>
      </c>
      <c r="S678" s="1" t="s">
        <v>27</v>
      </c>
      <c r="T678" s="6">
        <v>1</v>
      </c>
      <c r="W678" s="1">
        <v>86</v>
      </c>
      <c r="Z678" s="1">
        <v>79.400000000000006</v>
      </c>
      <c r="AE678" s="1">
        <v>15.3</v>
      </c>
      <c r="AJ678" s="1">
        <v>1.5</v>
      </c>
      <c r="AK678" s="1">
        <v>0.45428960000000002</v>
      </c>
      <c r="AL678" s="1">
        <v>9.2519400000000002E-2</v>
      </c>
      <c r="AM678" s="1">
        <v>0.57412099999999999</v>
      </c>
      <c r="AN678" s="1">
        <v>1.7069999999999998E-2</v>
      </c>
      <c r="AQ678" s="1">
        <v>2.6</v>
      </c>
      <c r="AV678" s="1">
        <v>1.1499999999999999</v>
      </c>
      <c r="EW678" s="1">
        <v>231</v>
      </c>
    </row>
    <row r="679" spans="1:168" x14ac:dyDescent="0.2">
      <c r="A679" s="1" t="s">
        <v>4362</v>
      </c>
      <c r="B679" s="1" t="s">
        <v>57</v>
      </c>
      <c r="C679" s="1" t="s">
        <v>4327</v>
      </c>
      <c r="E679" s="1">
        <v>55</v>
      </c>
      <c r="F679" s="1" t="s">
        <v>4328</v>
      </c>
      <c r="H679" s="1" t="s">
        <v>4329</v>
      </c>
      <c r="I679" s="1" t="s">
        <v>7</v>
      </c>
      <c r="J679" s="1" t="s">
        <v>4330</v>
      </c>
      <c r="K679" s="1" t="s">
        <v>4331</v>
      </c>
      <c r="L679" s="1" t="s">
        <v>4332</v>
      </c>
      <c r="M679" s="1" t="s">
        <v>4363</v>
      </c>
      <c r="P679" s="1" t="s">
        <v>4296</v>
      </c>
      <c r="Q679" s="1">
        <v>1990</v>
      </c>
      <c r="R679" s="1" t="s">
        <v>4297</v>
      </c>
      <c r="S679" s="1" t="s">
        <v>27</v>
      </c>
      <c r="T679" s="6">
        <v>1</v>
      </c>
      <c r="W679" s="1">
        <v>59</v>
      </c>
      <c r="Z679" s="1">
        <v>86.2</v>
      </c>
      <c r="AE679" s="1">
        <v>10.6</v>
      </c>
      <c r="AJ679" s="1">
        <v>0.67</v>
      </c>
      <c r="AK679" s="1">
        <v>9.9841895999999999E-2</v>
      </c>
      <c r="AL679" s="1">
        <v>3.2729399999999999E-2</v>
      </c>
      <c r="AM679" s="1">
        <v>0.20547172799999999</v>
      </c>
      <c r="AN679" s="1">
        <v>6.4769759999999997E-3</v>
      </c>
      <c r="AQ679" s="1">
        <v>1.6</v>
      </c>
      <c r="AV679" s="1">
        <v>0.74</v>
      </c>
      <c r="EW679" s="1">
        <v>37</v>
      </c>
      <c r="FI679" s="1">
        <v>10</v>
      </c>
      <c r="FJ679" s="1">
        <v>4</v>
      </c>
      <c r="FK679" s="1">
        <v>4</v>
      </c>
      <c r="FL679" s="1">
        <v>20</v>
      </c>
    </row>
    <row r="680" spans="1:168" x14ac:dyDescent="0.2">
      <c r="A680" s="1" t="s">
        <v>4364</v>
      </c>
      <c r="B680" s="1" t="s">
        <v>57</v>
      </c>
      <c r="C680" s="1" t="s">
        <v>4335</v>
      </c>
      <c r="E680" s="1">
        <v>55</v>
      </c>
      <c r="F680" s="1" t="s">
        <v>4336</v>
      </c>
      <c r="H680" s="1" t="s">
        <v>4337</v>
      </c>
      <c r="I680" s="1" t="s">
        <v>7</v>
      </c>
      <c r="J680" s="1" t="s">
        <v>4338</v>
      </c>
      <c r="K680" s="1" t="s">
        <v>4339</v>
      </c>
      <c r="L680" s="1" t="s">
        <v>4338</v>
      </c>
      <c r="M680" s="1" t="s">
        <v>4363</v>
      </c>
      <c r="P680" s="1" t="s">
        <v>4296</v>
      </c>
      <c r="Q680" s="1">
        <v>1990</v>
      </c>
      <c r="R680" s="1" t="s">
        <v>4297</v>
      </c>
      <c r="S680" s="1" t="s">
        <v>27</v>
      </c>
      <c r="T680" s="6">
        <v>1</v>
      </c>
      <c r="W680" s="1">
        <v>88</v>
      </c>
      <c r="Z680" s="1">
        <v>78.8</v>
      </c>
      <c r="AE680" s="1">
        <v>15.9</v>
      </c>
      <c r="AJ680" s="1">
        <v>0.96</v>
      </c>
      <c r="AK680" s="1">
        <v>0.19890102400000001</v>
      </c>
      <c r="AL680" s="1">
        <v>7.5668191999999995E-2</v>
      </c>
      <c r="AM680" s="1">
        <v>0.33400947199999997</v>
      </c>
      <c r="AN680" s="1">
        <v>1.3181312000000001E-2</v>
      </c>
      <c r="AQ680" s="1">
        <v>2.9</v>
      </c>
      <c r="AV680" s="1">
        <v>1.5</v>
      </c>
      <c r="EW680" s="1">
        <v>27</v>
      </c>
      <c r="FI680" s="1">
        <v>8</v>
      </c>
      <c r="FK680" s="1">
        <v>4</v>
      </c>
      <c r="FL680" s="1">
        <v>21</v>
      </c>
    </row>
    <row r="681" spans="1:168" x14ac:dyDescent="0.2">
      <c r="A681" s="1" t="s">
        <v>4365</v>
      </c>
      <c r="B681" s="1" t="s">
        <v>1912</v>
      </c>
      <c r="C681" s="1" t="s">
        <v>4347</v>
      </c>
      <c r="E681" s="1">
        <v>42</v>
      </c>
      <c r="F681" s="1" t="s">
        <v>3798</v>
      </c>
      <c r="H681" s="1" t="s">
        <v>4366</v>
      </c>
      <c r="I681" s="1" t="s">
        <v>11</v>
      </c>
      <c r="J681" s="1" t="s">
        <v>3800</v>
      </c>
      <c r="K681" s="1" t="s">
        <v>3801</v>
      </c>
      <c r="L681" s="1" t="s">
        <v>3800</v>
      </c>
      <c r="M681" s="1" t="s">
        <v>4363</v>
      </c>
      <c r="P681" s="1" t="s">
        <v>4344</v>
      </c>
      <c r="Q681" s="1">
        <v>1990</v>
      </c>
      <c r="R681" s="1" t="s">
        <v>4297</v>
      </c>
      <c r="S681" s="1" t="s">
        <v>27</v>
      </c>
      <c r="T681" s="6">
        <v>1</v>
      </c>
      <c r="W681" s="1">
        <v>92</v>
      </c>
      <c r="Z681" s="1">
        <v>77.599999999999994</v>
      </c>
      <c r="AE681" s="1">
        <v>17.8</v>
      </c>
      <c r="AJ681" s="1">
        <v>1.22</v>
      </c>
      <c r="AK681" s="1">
        <v>0.177234688</v>
      </c>
      <c r="AL681" s="1">
        <v>0.19599440800000001</v>
      </c>
      <c r="AM681" s="1">
        <v>0.49945521199999998</v>
      </c>
      <c r="AN681" s="1">
        <v>2.0635692000000001E-2</v>
      </c>
      <c r="AQ681" s="1">
        <v>1.4</v>
      </c>
      <c r="AV681" s="1">
        <v>2.57</v>
      </c>
      <c r="EW681" s="1">
        <v>72</v>
      </c>
      <c r="FL681" s="1">
        <v>6</v>
      </c>
    </row>
    <row r="682" spans="1:168" x14ac:dyDescent="0.2">
      <c r="A682" s="1" t="s">
        <v>4367</v>
      </c>
      <c r="B682" s="1" t="s">
        <v>1912</v>
      </c>
      <c r="C682" s="1" t="s">
        <v>4342</v>
      </c>
      <c r="E682" s="1">
        <v>45</v>
      </c>
      <c r="F682" s="1" t="s">
        <v>4349</v>
      </c>
      <c r="H682" s="1" t="s">
        <v>4350</v>
      </c>
      <c r="I682" s="1" t="s">
        <v>11</v>
      </c>
      <c r="J682" s="1" t="s">
        <v>4351</v>
      </c>
      <c r="K682" s="1" t="s">
        <v>4352</v>
      </c>
      <c r="L682" s="1" t="s">
        <v>4351</v>
      </c>
      <c r="M682" s="1" t="s">
        <v>4363</v>
      </c>
      <c r="P682" s="1" t="s">
        <v>4344</v>
      </c>
      <c r="Q682" s="1">
        <v>1990</v>
      </c>
      <c r="R682" s="1" t="s">
        <v>4297</v>
      </c>
      <c r="S682" s="1" t="s">
        <v>27</v>
      </c>
      <c r="T682" s="6">
        <v>1</v>
      </c>
      <c r="W682" s="1">
        <v>89</v>
      </c>
      <c r="Z682" s="1">
        <v>77.8</v>
      </c>
      <c r="AE682" s="1">
        <v>17.3</v>
      </c>
      <c r="AJ682" s="1">
        <v>1.26</v>
      </c>
      <c r="AK682" s="1">
        <v>0.223015464</v>
      </c>
      <c r="AL682" s="1">
        <v>0.24649077599999999</v>
      </c>
      <c r="AM682" s="1">
        <v>6.1482960000000001E-3</v>
      </c>
      <c r="AN682" s="1">
        <v>3.0368856E-2</v>
      </c>
      <c r="AQ682" s="1">
        <v>2</v>
      </c>
      <c r="AV682" s="1">
        <v>1.57</v>
      </c>
      <c r="EW682" s="1">
        <v>147</v>
      </c>
      <c r="FL682" s="1">
        <v>10</v>
      </c>
    </row>
    <row r="683" spans="1:168" x14ac:dyDescent="0.2">
      <c r="A683" s="1" t="s">
        <v>4368</v>
      </c>
      <c r="B683" s="1" t="s">
        <v>57</v>
      </c>
      <c r="C683" s="1" t="s">
        <v>4369</v>
      </c>
      <c r="D683" s="1" t="s">
        <v>4</v>
      </c>
      <c r="E683" s="1">
        <v>57</v>
      </c>
      <c r="F683" s="1" t="s">
        <v>1923</v>
      </c>
      <c r="H683" s="1" t="s">
        <v>4370</v>
      </c>
      <c r="I683" s="1" t="s">
        <v>7</v>
      </c>
      <c r="J683" s="1" t="s">
        <v>1925</v>
      </c>
      <c r="K683" s="1" t="s">
        <v>1926</v>
      </c>
      <c r="L683" s="1" t="s">
        <v>1925</v>
      </c>
      <c r="P683" s="1" t="s">
        <v>4371</v>
      </c>
      <c r="Q683" s="1">
        <v>2010</v>
      </c>
      <c r="R683" s="1" t="s">
        <v>4372</v>
      </c>
      <c r="S683" s="1" t="s">
        <v>27</v>
      </c>
      <c r="T683" s="6">
        <v>1</v>
      </c>
      <c r="Z683" s="1">
        <v>86.03</v>
      </c>
      <c r="AE683" s="1">
        <v>10.199999999999999</v>
      </c>
      <c r="AH683" s="1">
        <v>0.65</v>
      </c>
      <c r="AK683" s="1">
        <v>0.18873200000000001</v>
      </c>
      <c r="AL683" s="1">
        <v>3.7095599999999999E-2</v>
      </c>
      <c r="AM683" s="1">
        <v>9.8596199999999995E-2</v>
      </c>
      <c r="AR683" s="1">
        <v>1.25</v>
      </c>
      <c r="AV683" s="1">
        <v>1.95</v>
      </c>
      <c r="FB683" s="1">
        <v>0.33150000000000002</v>
      </c>
      <c r="FE683" s="1">
        <v>6.4284999999999995E-2</v>
      </c>
    </row>
    <row r="684" spans="1:168" x14ac:dyDescent="0.2">
      <c r="A684" s="1" t="s">
        <v>4373</v>
      </c>
      <c r="B684" s="1" t="s">
        <v>55</v>
      </c>
      <c r="C684" s="1" t="s">
        <v>4374</v>
      </c>
      <c r="E684" s="1">
        <v>13</v>
      </c>
      <c r="F684" s="1" t="s">
        <v>4375</v>
      </c>
      <c r="G684" s="1" t="s">
        <v>4376</v>
      </c>
      <c r="H684" s="1" t="s">
        <v>4377</v>
      </c>
      <c r="I684" s="1" t="s">
        <v>7</v>
      </c>
      <c r="J684" s="1" t="s">
        <v>4378</v>
      </c>
      <c r="L684" s="1" t="s">
        <v>4378</v>
      </c>
      <c r="P684" s="1" t="s">
        <v>4379</v>
      </c>
      <c r="Q684" s="1">
        <v>2007</v>
      </c>
      <c r="R684" s="1" t="s">
        <v>4380</v>
      </c>
      <c r="S684" s="1" t="s">
        <v>27</v>
      </c>
      <c r="T684" s="6">
        <v>1</v>
      </c>
      <c r="AY684" s="1">
        <v>200</v>
      </c>
      <c r="BF684" s="1">
        <v>2.4</v>
      </c>
      <c r="BW684" s="1">
        <v>1.2</v>
      </c>
    </row>
    <row r="685" spans="1:168" x14ac:dyDescent="0.2">
      <c r="A685" s="1" t="s">
        <v>4381</v>
      </c>
      <c r="B685" s="1" t="s">
        <v>55</v>
      </c>
      <c r="C685" s="1" t="s">
        <v>4374</v>
      </c>
      <c r="E685" s="1">
        <v>33</v>
      </c>
      <c r="F685" s="1" t="s">
        <v>4382</v>
      </c>
      <c r="G685" s="1" t="s">
        <v>4383</v>
      </c>
      <c r="H685" s="1" t="s">
        <v>4377</v>
      </c>
      <c r="I685" s="1" t="s">
        <v>7</v>
      </c>
      <c r="J685" s="1" t="s">
        <v>4384</v>
      </c>
      <c r="K685" s="1" t="s">
        <v>4385</v>
      </c>
      <c r="L685" s="1" t="s">
        <v>4386</v>
      </c>
      <c r="P685" s="1" t="s">
        <v>4379</v>
      </c>
      <c r="Q685" s="1">
        <v>2007</v>
      </c>
      <c r="R685" s="1" t="s">
        <v>4380</v>
      </c>
      <c r="S685" s="1" t="s">
        <v>27</v>
      </c>
      <c r="T685" s="6">
        <v>1</v>
      </c>
      <c r="AY685" s="1">
        <v>900</v>
      </c>
      <c r="BF685" s="1">
        <v>1.8</v>
      </c>
      <c r="BW685" s="1">
        <v>2.2999999999999998</v>
      </c>
    </row>
    <row r="686" spans="1:168" x14ac:dyDescent="0.2">
      <c r="A686" s="1" t="s">
        <v>4387</v>
      </c>
      <c r="B686" s="1" t="s">
        <v>55</v>
      </c>
      <c r="C686" s="1" t="s">
        <v>4374</v>
      </c>
      <c r="E686" s="1">
        <v>11</v>
      </c>
      <c r="F686" s="1" t="s">
        <v>4388</v>
      </c>
      <c r="G686" s="1" t="s">
        <v>4389</v>
      </c>
      <c r="H686" s="1" t="s">
        <v>4390</v>
      </c>
      <c r="I686" s="1" t="s">
        <v>7</v>
      </c>
      <c r="J686" s="1" t="s">
        <v>4391</v>
      </c>
      <c r="K686" s="1" t="s">
        <v>4392</v>
      </c>
      <c r="L686" s="1" t="s">
        <v>4391</v>
      </c>
      <c r="P686" s="1" t="s">
        <v>4379</v>
      </c>
      <c r="Q686" s="1">
        <v>2007</v>
      </c>
      <c r="R686" s="1" t="s">
        <v>4380</v>
      </c>
      <c r="S686" s="1" t="s">
        <v>27</v>
      </c>
      <c r="T686" s="6">
        <v>1</v>
      </c>
      <c r="AY686" s="1">
        <v>800</v>
      </c>
      <c r="BF686" s="1">
        <v>12</v>
      </c>
      <c r="BW686" s="1">
        <v>4</v>
      </c>
    </row>
    <row r="687" spans="1:168" x14ac:dyDescent="0.2">
      <c r="A687" s="1" t="s">
        <v>4393</v>
      </c>
      <c r="B687" s="1" t="s">
        <v>55</v>
      </c>
      <c r="C687" s="1" t="s">
        <v>4374</v>
      </c>
      <c r="E687" s="1">
        <v>13</v>
      </c>
      <c r="F687" s="1" t="s">
        <v>4394</v>
      </c>
      <c r="G687" s="1" t="s">
        <v>4395</v>
      </c>
      <c r="H687" s="1" t="s">
        <v>4396</v>
      </c>
      <c r="I687" s="1" t="s">
        <v>7</v>
      </c>
      <c r="J687" s="1" t="s">
        <v>4397</v>
      </c>
      <c r="K687" s="1" t="s">
        <v>4398</v>
      </c>
      <c r="L687" s="1" t="s">
        <v>4397</v>
      </c>
      <c r="P687" s="1" t="s">
        <v>4379</v>
      </c>
      <c r="Q687" s="1">
        <v>2007</v>
      </c>
      <c r="R687" s="1" t="s">
        <v>4380</v>
      </c>
      <c r="S687" s="1" t="s">
        <v>27</v>
      </c>
      <c r="T687" s="6">
        <v>1</v>
      </c>
      <c r="AY687" s="1">
        <v>400</v>
      </c>
      <c r="BF687" s="1">
        <v>2.8</v>
      </c>
      <c r="BW687" s="1">
        <v>3.1</v>
      </c>
    </row>
    <row r="688" spans="1:168" x14ac:dyDescent="0.2">
      <c r="A688" s="1" t="s">
        <v>4399</v>
      </c>
      <c r="B688" s="1" t="s">
        <v>55</v>
      </c>
      <c r="C688" s="1" t="s">
        <v>4374</v>
      </c>
      <c r="E688" s="1">
        <v>11</v>
      </c>
      <c r="F688" s="1" t="s">
        <v>4400</v>
      </c>
      <c r="G688" s="1" t="s">
        <v>4401</v>
      </c>
      <c r="H688" s="1" t="s">
        <v>4377</v>
      </c>
      <c r="I688" s="1" t="s">
        <v>7</v>
      </c>
      <c r="J688" s="1" t="s">
        <v>4402</v>
      </c>
      <c r="L688" s="1" t="s">
        <v>4402</v>
      </c>
      <c r="P688" s="1" t="s">
        <v>4379</v>
      </c>
      <c r="Q688" s="1">
        <v>2007</v>
      </c>
      <c r="R688" s="1" t="s">
        <v>4380</v>
      </c>
      <c r="S688" s="1" t="s">
        <v>27</v>
      </c>
      <c r="T688" s="6">
        <v>1</v>
      </c>
      <c r="AY688" s="1">
        <v>800</v>
      </c>
      <c r="BF688" s="1">
        <v>5.7</v>
      </c>
      <c r="BW688" s="1">
        <v>3.2</v>
      </c>
    </row>
    <row r="689" spans="1:148" x14ac:dyDescent="0.2">
      <c r="A689" s="1" t="s">
        <v>4403</v>
      </c>
      <c r="B689" s="1" t="s">
        <v>55</v>
      </c>
      <c r="C689" s="1" t="s">
        <v>4374</v>
      </c>
      <c r="E689" s="1">
        <v>11</v>
      </c>
      <c r="F689" s="1" t="s">
        <v>4404</v>
      </c>
      <c r="G689" s="1" t="s">
        <v>4405</v>
      </c>
      <c r="H689" s="1" t="s">
        <v>4406</v>
      </c>
      <c r="I689" s="1" t="s">
        <v>7</v>
      </c>
      <c r="J689" s="1" t="s">
        <v>4407</v>
      </c>
      <c r="K689" s="1" t="s">
        <v>4408</v>
      </c>
      <c r="L689" s="1" t="s">
        <v>4407</v>
      </c>
      <c r="P689" s="1" t="s">
        <v>4379</v>
      </c>
      <c r="Q689" s="1">
        <v>2007</v>
      </c>
      <c r="R689" s="1" t="s">
        <v>4380</v>
      </c>
      <c r="S689" s="1" t="s">
        <v>27</v>
      </c>
      <c r="T689" s="6">
        <v>1</v>
      </c>
      <c r="AY689" s="1">
        <v>800</v>
      </c>
      <c r="BF689" s="1">
        <v>3</v>
      </c>
      <c r="BW689" s="1">
        <v>3.1</v>
      </c>
    </row>
    <row r="690" spans="1:148" x14ac:dyDescent="0.2">
      <c r="A690" s="1" t="s">
        <v>4409</v>
      </c>
      <c r="B690" s="1" t="s">
        <v>55</v>
      </c>
      <c r="C690" s="1" t="s">
        <v>4374</v>
      </c>
      <c r="E690" s="1">
        <v>13</v>
      </c>
      <c r="F690" s="1" t="s">
        <v>4410</v>
      </c>
      <c r="G690" s="1" t="s">
        <v>4411</v>
      </c>
      <c r="H690" s="1" t="s">
        <v>4412</v>
      </c>
      <c r="I690" s="1" t="s">
        <v>7</v>
      </c>
      <c r="J690" s="1" t="s">
        <v>4413</v>
      </c>
      <c r="K690" s="1" t="s">
        <v>4414</v>
      </c>
      <c r="L690" s="1" t="s">
        <v>4415</v>
      </c>
      <c r="P690" s="1" t="s">
        <v>4379</v>
      </c>
      <c r="Q690" s="1">
        <v>2007</v>
      </c>
      <c r="R690" s="1" t="s">
        <v>4380</v>
      </c>
      <c r="S690" s="1" t="s">
        <v>27</v>
      </c>
      <c r="T690" s="6">
        <v>1</v>
      </c>
      <c r="AY690" s="1">
        <v>300</v>
      </c>
      <c r="BF690" s="1">
        <v>1.8</v>
      </c>
      <c r="BW690" s="1">
        <v>1.5</v>
      </c>
    </row>
    <row r="691" spans="1:148" x14ac:dyDescent="0.2">
      <c r="A691" s="1" t="s">
        <v>4416</v>
      </c>
      <c r="B691" s="1" t="s">
        <v>55</v>
      </c>
      <c r="C691" s="1" t="s">
        <v>4374</v>
      </c>
      <c r="E691" s="1">
        <v>11</v>
      </c>
      <c r="F691" s="1" t="s">
        <v>2132</v>
      </c>
      <c r="H691" s="1" t="s">
        <v>4417</v>
      </c>
      <c r="I691" s="1" t="s">
        <v>7</v>
      </c>
      <c r="J691" s="1" t="s">
        <v>4418</v>
      </c>
      <c r="L691" s="1" t="s">
        <v>4418</v>
      </c>
      <c r="P691" s="1" t="s">
        <v>4379</v>
      </c>
      <c r="Q691" s="1">
        <v>2007</v>
      </c>
      <c r="R691" s="1" t="s">
        <v>4380</v>
      </c>
      <c r="S691" s="1" t="s">
        <v>27</v>
      </c>
      <c r="T691" s="6">
        <v>1</v>
      </c>
      <c r="AY691" s="1">
        <v>0</v>
      </c>
      <c r="BF691" s="1">
        <v>2.5</v>
      </c>
    </row>
    <row r="692" spans="1:148" x14ac:dyDescent="0.2">
      <c r="A692" s="1" t="s">
        <v>4419</v>
      </c>
      <c r="B692" s="1" t="s">
        <v>55</v>
      </c>
      <c r="C692" s="1" t="s">
        <v>4374</v>
      </c>
      <c r="E692" s="1">
        <v>11</v>
      </c>
      <c r="F692" s="1" t="s">
        <v>1313</v>
      </c>
      <c r="H692" s="1" t="s">
        <v>4420</v>
      </c>
      <c r="I692" s="1" t="s">
        <v>7</v>
      </c>
      <c r="J692" s="1" t="s">
        <v>4421</v>
      </c>
      <c r="K692" s="1" t="s">
        <v>1316</v>
      </c>
      <c r="L692" s="1" t="s">
        <v>1315</v>
      </c>
      <c r="P692" s="1" t="s">
        <v>4379</v>
      </c>
      <c r="Q692" s="1">
        <v>2007</v>
      </c>
      <c r="R692" s="1" t="s">
        <v>4380</v>
      </c>
      <c r="S692" s="1" t="s">
        <v>27</v>
      </c>
      <c r="T692" s="6">
        <v>1</v>
      </c>
      <c r="BF692" s="1">
        <v>4.4000000000000004</v>
      </c>
    </row>
    <row r="693" spans="1:148" x14ac:dyDescent="0.2">
      <c r="A693" s="1" t="s">
        <v>4422</v>
      </c>
      <c r="B693" s="1" t="s">
        <v>55</v>
      </c>
      <c r="C693" s="1" t="s">
        <v>4423</v>
      </c>
      <c r="E693" s="1">
        <v>11</v>
      </c>
      <c r="F693" s="1" t="s">
        <v>4424</v>
      </c>
      <c r="G693" s="1" t="s">
        <v>4425</v>
      </c>
      <c r="H693" s="1" t="s">
        <v>4377</v>
      </c>
      <c r="I693" s="1" t="s">
        <v>7</v>
      </c>
      <c r="J693" s="1" t="s">
        <v>4426</v>
      </c>
      <c r="L693" s="1" t="s">
        <v>4427</v>
      </c>
      <c r="P693" s="1" t="s">
        <v>4379</v>
      </c>
      <c r="Q693" s="1">
        <v>2007</v>
      </c>
      <c r="R693" s="1" t="s">
        <v>4380</v>
      </c>
      <c r="S693" s="1" t="s">
        <v>27</v>
      </c>
      <c r="T693" s="6">
        <v>1</v>
      </c>
      <c r="BF693" s="1">
        <v>0.7</v>
      </c>
      <c r="BW693" s="1">
        <v>2.7</v>
      </c>
    </row>
    <row r="694" spans="1:148" x14ac:dyDescent="0.2">
      <c r="A694" s="1" t="s">
        <v>4428</v>
      </c>
      <c r="B694" s="1" t="s">
        <v>55</v>
      </c>
      <c r="C694" s="1" t="s">
        <v>4423</v>
      </c>
      <c r="E694" s="1">
        <v>11</v>
      </c>
      <c r="G694" s="1" t="s">
        <v>4429</v>
      </c>
      <c r="H694" s="1" t="s">
        <v>4377</v>
      </c>
      <c r="I694" s="1" t="s">
        <v>7</v>
      </c>
      <c r="J694" s="1" t="s">
        <v>4430</v>
      </c>
      <c r="P694" s="1" t="s">
        <v>4379</v>
      </c>
      <c r="Q694" s="1">
        <v>2007</v>
      </c>
      <c r="R694" s="1" t="s">
        <v>4380</v>
      </c>
      <c r="S694" s="1" t="s">
        <v>27</v>
      </c>
      <c r="T694" s="6">
        <v>1</v>
      </c>
      <c r="BF694" s="1">
        <v>1.2</v>
      </c>
      <c r="BW694" s="1">
        <v>2.2000000000000002</v>
      </c>
    </row>
    <row r="695" spans="1:148" x14ac:dyDescent="0.2">
      <c r="A695" s="1" t="s">
        <v>4431</v>
      </c>
      <c r="B695" s="1" t="s">
        <v>55</v>
      </c>
      <c r="C695" s="1" t="s">
        <v>4423</v>
      </c>
      <c r="E695" s="1">
        <v>33</v>
      </c>
      <c r="F695" s="1" t="s">
        <v>4382</v>
      </c>
      <c r="G695" s="1" t="s">
        <v>4432</v>
      </c>
      <c r="H695" s="1" t="s">
        <v>4377</v>
      </c>
      <c r="I695" s="1" t="s">
        <v>7</v>
      </c>
      <c r="J695" s="1" t="s">
        <v>4433</v>
      </c>
      <c r="K695" s="1" t="s">
        <v>4385</v>
      </c>
      <c r="L695" s="1" t="s">
        <v>4386</v>
      </c>
      <c r="P695" s="1" t="s">
        <v>4379</v>
      </c>
      <c r="Q695" s="1">
        <v>2007</v>
      </c>
      <c r="R695" s="1" t="s">
        <v>4380</v>
      </c>
      <c r="S695" s="1" t="s">
        <v>27</v>
      </c>
      <c r="T695" s="6">
        <v>1</v>
      </c>
      <c r="BF695" s="1">
        <v>1.4</v>
      </c>
      <c r="BW695" s="1">
        <v>1.6</v>
      </c>
    </row>
    <row r="696" spans="1:148" x14ac:dyDescent="0.2">
      <c r="A696" s="1" t="s">
        <v>4434</v>
      </c>
      <c r="B696" s="1" t="s">
        <v>55</v>
      </c>
      <c r="C696" s="1" t="s">
        <v>4423</v>
      </c>
      <c r="E696" s="1">
        <v>11</v>
      </c>
      <c r="F696" s="1" t="s">
        <v>1721</v>
      </c>
      <c r="G696" s="1" t="s">
        <v>4435</v>
      </c>
      <c r="H696" s="1" t="s">
        <v>4377</v>
      </c>
      <c r="I696" s="1" t="s">
        <v>7</v>
      </c>
      <c r="J696" s="1" t="s">
        <v>4436</v>
      </c>
      <c r="K696" s="1" t="s">
        <v>2788</v>
      </c>
      <c r="L696" s="1" t="s">
        <v>1725</v>
      </c>
      <c r="P696" s="1" t="s">
        <v>4379</v>
      </c>
      <c r="Q696" s="1">
        <v>2007</v>
      </c>
      <c r="R696" s="1" t="s">
        <v>4380</v>
      </c>
      <c r="S696" s="1" t="s">
        <v>27</v>
      </c>
      <c r="T696" s="6">
        <v>1</v>
      </c>
      <c r="BF696" s="1">
        <v>11.3</v>
      </c>
      <c r="BW696" s="1">
        <v>4.9000000000000004</v>
      </c>
    </row>
    <row r="697" spans="1:148" x14ac:dyDescent="0.2">
      <c r="A697" s="1" t="s">
        <v>4437</v>
      </c>
      <c r="B697" s="1" t="s">
        <v>55</v>
      </c>
      <c r="C697" s="1" t="s">
        <v>4423</v>
      </c>
      <c r="E697" s="1">
        <v>13</v>
      </c>
      <c r="F697" s="1" t="s">
        <v>4438</v>
      </c>
      <c r="H697" s="1" t="s">
        <v>4439</v>
      </c>
      <c r="I697" s="1" t="s">
        <v>7</v>
      </c>
      <c r="J697" s="1" t="s">
        <v>4440</v>
      </c>
      <c r="K697" s="1" t="s">
        <v>4441</v>
      </c>
      <c r="L697" s="1" t="s">
        <v>4440</v>
      </c>
      <c r="P697" s="1" t="s">
        <v>4379</v>
      </c>
      <c r="Q697" s="1">
        <v>2007</v>
      </c>
      <c r="R697" s="1" t="s">
        <v>4380</v>
      </c>
      <c r="S697" s="1" t="s">
        <v>27</v>
      </c>
      <c r="T697" s="6">
        <v>1</v>
      </c>
      <c r="BF697" s="1">
        <v>1.2</v>
      </c>
      <c r="BW697" s="1">
        <v>1.4</v>
      </c>
    </row>
    <row r="698" spans="1:148" x14ac:dyDescent="0.2">
      <c r="A698" s="1" t="s">
        <v>4442</v>
      </c>
      <c r="B698" s="1" t="s">
        <v>55</v>
      </c>
      <c r="C698" s="1" t="s">
        <v>4423</v>
      </c>
      <c r="E698" s="1">
        <v>13</v>
      </c>
      <c r="F698" s="1" t="s">
        <v>2441</v>
      </c>
      <c r="H698" s="1" t="s">
        <v>4443</v>
      </c>
      <c r="I698" s="1" t="s">
        <v>7</v>
      </c>
      <c r="J698" s="1" t="s">
        <v>2445</v>
      </c>
      <c r="L698" s="1" t="s">
        <v>2445</v>
      </c>
      <c r="P698" s="1" t="s">
        <v>4379</v>
      </c>
      <c r="Q698" s="1">
        <v>2007</v>
      </c>
      <c r="R698" s="1" t="s">
        <v>4380</v>
      </c>
      <c r="S698" s="1" t="s">
        <v>27</v>
      </c>
      <c r="T698" s="6">
        <v>1</v>
      </c>
      <c r="BF698" s="1">
        <v>1.5</v>
      </c>
      <c r="BW698" s="1">
        <v>1.5</v>
      </c>
    </row>
    <row r="699" spans="1:148" x14ac:dyDescent="0.2">
      <c r="A699" s="1" t="s">
        <v>4444</v>
      </c>
      <c r="B699" s="1" t="s">
        <v>55</v>
      </c>
      <c r="C699" s="1" t="s">
        <v>4445</v>
      </c>
      <c r="D699" s="1" t="s">
        <v>2</v>
      </c>
      <c r="E699" s="1">
        <v>23</v>
      </c>
      <c r="F699" s="1" t="s">
        <v>1472</v>
      </c>
      <c r="H699" s="1" t="s">
        <v>4446</v>
      </c>
      <c r="I699" s="1" t="s">
        <v>7</v>
      </c>
      <c r="J699" s="1" t="s">
        <v>1474</v>
      </c>
      <c r="K699" s="1" t="s">
        <v>1475</v>
      </c>
      <c r="L699" s="1" t="s">
        <v>1474</v>
      </c>
      <c r="M699" s="1" t="s">
        <v>4447</v>
      </c>
      <c r="N699" s="1" t="s">
        <v>4448</v>
      </c>
      <c r="P699" s="1" t="s">
        <v>1270</v>
      </c>
      <c r="Q699" s="1">
        <v>2007</v>
      </c>
      <c r="R699" s="1" t="s">
        <v>4449</v>
      </c>
      <c r="S699" s="1" t="s">
        <v>23</v>
      </c>
      <c r="T699" s="6">
        <v>1</v>
      </c>
      <c r="Z699" s="1" t="s">
        <v>4450</v>
      </c>
      <c r="AA699" s="1">
        <v>6.25</v>
      </c>
      <c r="AC699" s="1" t="s">
        <v>4451</v>
      </c>
      <c r="AI699" s="1" t="s">
        <v>4358</v>
      </c>
      <c r="AK699" s="1">
        <v>0.77973912499999998</v>
      </c>
      <c r="AL699" s="1">
        <v>0.70065848600000002</v>
      </c>
      <c r="AV699" s="1" t="s">
        <v>4452</v>
      </c>
      <c r="DR699" s="1">
        <v>7953</v>
      </c>
      <c r="DT699" s="1">
        <v>6074.4</v>
      </c>
      <c r="DU699" s="1">
        <v>1030</v>
      </c>
      <c r="DV699" s="1">
        <v>770.2</v>
      </c>
      <c r="DX699" s="1">
        <v>1493</v>
      </c>
      <c r="DZ699" s="1">
        <v>1901.2</v>
      </c>
      <c r="EB699" s="1">
        <v>903.8</v>
      </c>
      <c r="EC699" s="1">
        <v>902.8</v>
      </c>
      <c r="EF699" s="1">
        <v>535</v>
      </c>
      <c r="EG699" s="1">
        <v>1165.8</v>
      </c>
      <c r="EH699" s="1">
        <v>1409</v>
      </c>
      <c r="EI699" s="1">
        <v>272.5</v>
      </c>
      <c r="EK699" s="1">
        <v>650</v>
      </c>
      <c r="EM699" s="1">
        <v>643</v>
      </c>
      <c r="EO699" s="1">
        <v>746.2</v>
      </c>
      <c r="EQ699" s="1">
        <v>500.2</v>
      </c>
      <c r="ER699" s="1">
        <v>603.29999999999995</v>
      </c>
    </row>
    <row r="700" spans="1:148" x14ac:dyDescent="0.2">
      <c r="A700" s="1" t="s">
        <v>4453</v>
      </c>
      <c r="B700" s="1" t="s">
        <v>55</v>
      </c>
      <c r="C700" s="1" t="s">
        <v>4445</v>
      </c>
      <c r="D700" s="1" t="s">
        <v>2</v>
      </c>
      <c r="E700" s="1">
        <v>23</v>
      </c>
      <c r="F700" s="1" t="s">
        <v>1472</v>
      </c>
      <c r="H700" s="1" t="s">
        <v>4454</v>
      </c>
      <c r="I700" s="1" t="s">
        <v>11</v>
      </c>
      <c r="J700" s="1" t="s">
        <v>1474</v>
      </c>
      <c r="K700" s="1" t="s">
        <v>1475</v>
      </c>
      <c r="L700" s="1" t="s">
        <v>1474</v>
      </c>
      <c r="M700" s="1" t="s">
        <v>4447</v>
      </c>
      <c r="N700" s="1" t="s">
        <v>4455</v>
      </c>
      <c r="P700" s="1" t="s">
        <v>1270</v>
      </c>
      <c r="Q700" s="1">
        <v>2007</v>
      </c>
      <c r="R700" s="1" t="s">
        <v>4449</v>
      </c>
      <c r="S700" s="1" t="s">
        <v>23</v>
      </c>
      <c r="T700" s="6">
        <v>1</v>
      </c>
      <c r="Z700" s="1" t="s">
        <v>4456</v>
      </c>
      <c r="AA700" s="1">
        <v>6.25</v>
      </c>
      <c r="AC700" s="1" t="s">
        <v>4457</v>
      </c>
      <c r="AI700" s="1" t="s">
        <v>4458</v>
      </c>
      <c r="AK700" s="1">
        <v>1.8335134399999999</v>
      </c>
      <c r="AL700" s="1">
        <v>1.9193958600000001</v>
      </c>
      <c r="AV700" s="1" t="s">
        <v>4459</v>
      </c>
      <c r="DR700" s="1">
        <v>11570.2</v>
      </c>
      <c r="DT700" s="1">
        <v>10284.51</v>
      </c>
      <c r="DU700" s="1">
        <v>1460</v>
      </c>
      <c r="DV700" s="1">
        <v>1413.7</v>
      </c>
      <c r="DX700" s="1">
        <v>2445.6999999999998</v>
      </c>
      <c r="DZ700" s="1">
        <v>3633.5</v>
      </c>
      <c r="EB700" s="1">
        <v>1633.8</v>
      </c>
      <c r="EC700" s="1">
        <v>1085.3</v>
      </c>
      <c r="EF700" s="1">
        <v>884.17</v>
      </c>
      <c r="EG700" s="1">
        <v>1687.01</v>
      </c>
      <c r="EH700" s="1">
        <v>2016</v>
      </c>
      <c r="EI700" s="1">
        <v>497.2</v>
      </c>
      <c r="EK700" s="1">
        <v>1012.2</v>
      </c>
      <c r="EM700" s="1">
        <v>1082.2</v>
      </c>
      <c r="EO700" s="1">
        <v>1114.3</v>
      </c>
      <c r="EQ700" s="1">
        <v>762.17</v>
      </c>
      <c r="ER700" s="1">
        <v>998</v>
      </c>
    </row>
    <row r="701" spans="1:148" x14ac:dyDescent="0.2">
      <c r="A701" s="1" t="s">
        <v>4460</v>
      </c>
      <c r="B701" s="1" t="s">
        <v>55</v>
      </c>
      <c r="C701" s="1" t="s">
        <v>4445</v>
      </c>
      <c r="D701" s="1" t="s">
        <v>2</v>
      </c>
      <c r="E701" s="1">
        <v>23</v>
      </c>
      <c r="F701" s="1" t="s">
        <v>1472</v>
      </c>
      <c r="H701" s="1" t="s">
        <v>4461</v>
      </c>
      <c r="I701" s="1" t="s">
        <v>11</v>
      </c>
      <c r="J701" s="1" t="s">
        <v>1474</v>
      </c>
      <c r="K701" s="1" t="s">
        <v>1475</v>
      </c>
      <c r="L701" s="1" t="s">
        <v>1474</v>
      </c>
      <c r="M701" s="1" t="s">
        <v>4447</v>
      </c>
      <c r="N701" s="1" t="s">
        <v>4448</v>
      </c>
      <c r="P701" s="1" t="s">
        <v>1270</v>
      </c>
      <c r="Q701" s="1">
        <v>2007</v>
      </c>
      <c r="R701" s="1" t="s">
        <v>4449</v>
      </c>
      <c r="S701" s="1" t="s">
        <v>23</v>
      </c>
      <c r="T701" s="6">
        <v>1</v>
      </c>
      <c r="Z701" s="1">
        <v>58.92</v>
      </c>
      <c r="AA701" s="1">
        <v>6.25</v>
      </c>
      <c r="AC701" s="1">
        <v>32.07</v>
      </c>
      <c r="AI701" s="1">
        <v>7.87</v>
      </c>
      <c r="AK701" s="1">
        <v>2.5796560930000001</v>
      </c>
      <c r="AL701" s="1">
        <v>2.6559730190000002</v>
      </c>
      <c r="AV701" s="1">
        <v>2.41</v>
      </c>
      <c r="DR701" s="1">
        <v>12092.03</v>
      </c>
      <c r="DT701" s="1">
        <v>10671.07</v>
      </c>
      <c r="DU701" s="1">
        <v>1488</v>
      </c>
      <c r="DV701" s="1">
        <v>1586.3</v>
      </c>
      <c r="DX701" s="1">
        <v>2292.1999999999998</v>
      </c>
      <c r="DZ701" s="1">
        <v>3815.7</v>
      </c>
      <c r="EB701" s="1">
        <v>1922.8</v>
      </c>
      <c r="EC701" s="1">
        <v>1094.8</v>
      </c>
      <c r="EF701" s="1">
        <v>881.33</v>
      </c>
      <c r="EG701" s="1">
        <v>1721.8</v>
      </c>
      <c r="EH701" s="1">
        <v>2038.5</v>
      </c>
      <c r="EI701" s="1">
        <v>682.7</v>
      </c>
      <c r="EK701" s="1">
        <v>999.2</v>
      </c>
      <c r="EM701" s="1">
        <v>1071.7</v>
      </c>
      <c r="EO701" s="1">
        <v>1147.5</v>
      </c>
      <c r="EQ701" s="1">
        <v>742.83</v>
      </c>
      <c r="ER701" s="1">
        <v>1198.3</v>
      </c>
    </row>
    <row r="702" spans="1:148" x14ac:dyDescent="0.2">
      <c r="A702" s="1" t="s">
        <v>4462</v>
      </c>
      <c r="B702" s="1" t="s">
        <v>57</v>
      </c>
      <c r="C702" s="1" t="s">
        <v>4463</v>
      </c>
      <c r="D702" s="1" t="s">
        <v>2</v>
      </c>
      <c r="E702" s="1">
        <v>56</v>
      </c>
      <c r="F702" s="1" t="s">
        <v>4464</v>
      </c>
      <c r="H702" s="1" t="s">
        <v>4465</v>
      </c>
      <c r="I702" s="1" t="s">
        <v>7</v>
      </c>
      <c r="J702" s="1" t="s">
        <v>4466</v>
      </c>
      <c r="K702" s="1" t="s">
        <v>4467</v>
      </c>
      <c r="L702" s="1" t="s">
        <v>4466</v>
      </c>
      <c r="M702" s="1" t="s">
        <v>4468</v>
      </c>
      <c r="P702" s="1" t="s">
        <v>4469</v>
      </c>
      <c r="Q702" s="1">
        <v>2011</v>
      </c>
      <c r="R702" s="1" t="s">
        <v>4470</v>
      </c>
      <c r="S702" s="1" t="s">
        <v>23</v>
      </c>
      <c r="T702" s="6">
        <v>1</v>
      </c>
      <c r="U702" s="1">
        <v>0.24399999999999999</v>
      </c>
      <c r="Z702" s="1">
        <v>85.96</v>
      </c>
      <c r="AA702" s="1">
        <v>6.25</v>
      </c>
      <c r="AB702" s="1">
        <v>1.31</v>
      </c>
      <c r="AC702" s="1">
        <v>6.67</v>
      </c>
      <c r="AG702" s="1">
        <v>250</v>
      </c>
      <c r="AH702" s="1">
        <v>2.25</v>
      </c>
      <c r="AR702" s="1">
        <v>0.38</v>
      </c>
      <c r="AV702" s="1">
        <v>3.42</v>
      </c>
    </row>
    <row r="703" spans="1:148" x14ac:dyDescent="0.2">
      <c r="A703" s="1" t="s">
        <v>4471</v>
      </c>
      <c r="B703" s="1" t="s">
        <v>57</v>
      </c>
      <c r="C703" s="1" t="s">
        <v>4463</v>
      </c>
      <c r="D703" s="1" t="s">
        <v>2</v>
      </c>
      <c r="E703" s="1">
        <v>56</v>
      </c>
      <c r="F703" s="1" t="s">
        <v>4464</v>
      </c>
      <c r="H703" s="1" t="s">
        <v>4465</v>
      </c>
      <c r="I703" s="1" t="s">
        <v>7</v>
      </c>
      <c r="J703" s="1" t="s">
        <v>4466</v>
      </c>
      <c r="K703" s="1" t="s">
        <v>4467</v>
      </c>
      <c r="L703" s="1" t="s">
        <v>4466</v>
      </c>
      <c r="M703" s="1" t="s">
        <v>4472</v>
      </c>
      <c r="P703" s="1" t="s">
        <v>4469</v>
      </c>
      <c r="Q703" s="1">
        <v>2011</v>
      </c>
      <c r="R703" s="1" t="s">
        <v>4470</v>
      </c>
      <c r="S703" s="1" t="s">
        <v>23</v>
      </c>
      <c r="T703" s="6">
        <v>1</v>
      </c>
      <c r="U703" s="1">
        <v>0.24</v>
      </c>
      <c r="Z703" s="1">
        <v>83.84</v>
      </c>
      <c r="AA703" s="1">
        <v>6.25</v>
      </c>
      <c r="AB703" s="1">
        <v>1.37</v>
      </c>
      <c r="AD703" s="1">
        <v>7.13</v>
      </c>
      <c r="AG703" s="1">
        <v>230</v>
      </c>
      <c r="AH703" s="1">
        <v>1.71</v>
      </c>
      <c r="AR703" s="1">
        <v>1.44</v>
      </c>
      <c r="AV703" s="1">
        <v>3.59</v>
      </c>
    </row>
    <row r="704" spans="1:148" x14ac:dyDescent="0.2">
      <c r="A704" s="1" t="s">
        <v>4473</v>
      </c>
      <c r="B704" s="1" t="s">
        <v>57</v>
      </c>
      <c r="C704" s="1" t="s">
        <v>4463</v>
      </c>
      <c r="D704" s="1" t="s">
        <v>2</v>
      </c>
      <c r="E704" s="1">
        <v>56</v>
      </c>
      <c r="F704" s="1" t="s">
        <v>4464</v>
      </c>
      <c r="H704" s="1" t="s">
        <v>4465</v>
      </c>
      <c r="I704" s="1" t="s">
        <v>7</v>
      </c>
      <c r="J704" s="1" t="s">
        <v>4466</v>
      </c>
      <c r="K704" s="1" t="s">
        <v>4467</v>
      </c>
      <c r="L704" s="1" t="s">
        <v>4466</v>
      </c>
      <c r="M704" s="1" t="s">
        <v>4474</v>
      </c>
      <c r="P704" s="1" t="s">
        <v>4469</v>
      </c>
      <c r="Q704" s="1">
        <v>2011</v>
      </c>
      <c r="R704" s="1" t="s">
        <v>4470</v>
      </c>
      <c r="S704" s="1" t="s">
        <v>23</v>
      </c>
      <c r="T704" s="6">
        <v>1</v>
      </c>
      <c r="U704" s="1">
        <v>0.27</v>
      </c>
      <c r="Z704" s="1">
        <v>85.87</v>
      </c>
      <c r="AA704" s="1">
        <v>6.25</v>
      </c>
      <c r="AB704" s="1">
        <v>1.28</v>
      </c>
      <c r="AD704" s="1">
        <v>7.11</v>
      </c>
      <c r="AG704" s="1">
        <v>150</v>
      </c>
      <c r="AH704" s="1">
        <v>0.2</v>
      </c>
      <c r="AR704" s="1">
        <v>0.84</v>
      </c>
      <c r="AV704" s="1">
        <v>2.99</v>
      </c>
    </row>
    <row r="705" spans="1:153" x14ac:dyDescent="0.2">
      <c r="A705" s="1" t="s">
        <v>4475</v>
      </c>
      <c r="B705" s="1" t="s">
        <v>57</v>
      </c>
      <c r="C705" s="1" t="s">
        <v>4463</v>
      </c>
      <c r="D705" s="1" t="s">
        <v>2</v>
      </c>
      <c r="E705" s="1">
        <v>56</v>
      </c>
      <c r="F705" s="1" t="s">
        <v>4464</v>
      </c>
      <c r="H705" s="1" t="s">
        <v>4465</v>
      </c>
      <c r="I705" s="1" t="s">
        <v>7</v>
      </c>
      <c r="J705" s="1" t="s">
        <v>4466</v>
      </c>
      <c r="K705" s="1" t="s">
        <v>4467</v>
      </c>
      <c r="L705" s="1" t="s">
        <v>4466</v>
      </c>
      <c r="M705" s="1" t="s">
        <v>2071</v>
      </c>
      <c r="P705" s="1" t="s">
        <v>4469</v>
      </c>
      <c r="Q705" s="1">
        <v>2011</v>
      </c>
      <c r="R705" s="1" t="s">
        <v>4470</v>
      </c>
      <c r="S705" s="1" t="s">
        <v>23</v>
      </c>
      <c r="T705" s="6">
        <v>1</v>
      </c>
      <c r="U705" s="1">
        <v>0.30599999999999999</v>
      </c>
      <c r="Z705" s="1" t="s">
        <v>4476</v>
      </c>
      <c r="AA705" s="1">
        <v>6.25</v>
      </c>
      <c r="AB705" s="1">
        <v>1.39</v>
      </c>
      <c r="AD705" s="1" t="s">
        <v>4477</v>
      </c>
      <c r="AG705" s="1">
        <v>170</v>
      </c>
      <c r="AH705" s="1" t="s">
        <v>4478</v>
      </c>
      <c r="AR705" s="1" t="s">
        <v>4479</v>
      </c>
      <c r="AV705" s="1" t="s">
        <v>4480</v>
      </c>
    </row>
    <row r="706" spans="1:153" x14ac:dyDescent="0.2">
      <c r="A706" s="1" t="s">
        <v>4481</v>
      </c>
      <c r="B706" s="1" t="s">
        <v>57</v>
      </c>
      <c r="C706" s="1" t="s">
        <v>4463</v>
      </c>
      <c r="D706" s="1" t="s">
        <v>2</v>
      </c>
      <c r="E706" s="1">
        <v>56</v>
      </c>
      <c r="F706" s="1" t="s">
        <v>4464</v>
      </c>
      <c r="H706" s="1" t="s">
        <v>4465</v>
      </c>
      <c r="I706" s="1" t="s">
        <v>7</v>
      </c>
      <c r="J706" s="1" t="s">
        <v>4466</v>
      </c>
      <c r="K706" s="1" t="s">
        <v>4467</v>
      </c>
      <c r="L706" s="1" t="s">
        <v>4466</v>
      </c>
      <c r="M706" s="1" t="s">
        <v>4482</v>
      </c>
      <c r="P706" s="1" t="s">
        <v>4469</v>
      </c>
      <c r="Q706" s="1">
        <v>2011</v>
      </c>
      <c r="R706" s="1" t="s">
        <v>4470</v>
      </c>
      <c r="S706" s="1" t="s">
        <v>23</v>
      </c>
      <c r="T706" s="6">
        <v>1</v>
      </c>
      <c r="U706" s="1">
        <v>0.31900000000000001</v>
      </c>
      <c r="Z706" s="1">
        <v>83.59</v>
      </c>
      <c r="AA706" s="1">
        <v>6.25</v>
      </c>
      <c r="AB706" s="1">
        <v>1.35</v>
      </c>
      <c r="AD706" s="1">
        <v>8.48</v>
      </c>
      <c r="AG706" s="1">
        <v>0</v>
      </c>
      <c r="AH706" s="1">
        <v>1.22</v>
      </c>
      <c r="AR706" s="1">
        <v>0.79</v>
      </c>
      <c r="AV706" s="1">
        <v>3.1</v>
      </c>
    </row>
    <row r="707" spans="1:153" x14ac:dyDescent="0.2">
      <c r="A707" s="1" t="s">
        <v>4483</v>
      </c>
      <c r="B707" s="1" t="s">
        <v>57</v>
      </c>
      <c r="C707" s="1" t="s">
        <v>4463</v>
      </c>
      <c r="D707" s="1" t="s">
        <v>2</v>
      </c>
      <c r="E707" s="1">
        <v>56</v>
      </c>
      <c r="F707" s="1" t="s">
        <v>4464</v>
      </c>
      <c r="H707" s="1" t="s">
        <v>4465</v>
      </c>
      <c r="I707" s="1" t="s">
        <v>7</v>
      </c>
      <c r="J707" s="1" t="s">
        <v>4466</v>
      </c>
      <c r="K707" s="1" t="s">
        <v>4467</v>
      </c>
      <c r="L707" s="1" t="s">
        <v>4466</v>
      </c>
      <c r="M707" s="1" t="s">
        <v>4484</v>
      </c>
      <c r="P707" s="1" t="s">
        <v>4469</v>
      </c>
      <c r="Q707" s="1">
        <v>2011</v>
      </c>
      <c r="R707" s="1" t="s">
        <v>4470</v>
      </c>
      <c r="S707" s="1" t="s">
        <v>23</v>
      </c>
      <c r="T707" s="6">
        <v>1</v>
      </c>
      <c r="U707" s="1">
        <v>0.23100000000000001</v>
      </c>
      <c r="Z707" s="1">
        <v>82.55</v>
      </c>
      <c r="AA707" s="1">
        <v>6.25</v>
      </c>
      <c r="AB707" s="1">
        <v>1.52</v>
      </c>
      <c r="AD707" s="1">
        <v>8.66</v>
      </c>
      <c r="AG707" s="1">
        <v>130</v>
      </c>
      <c r="AH707" s="1">
        <v>0.53</v>
      </c>
      <c r="AR707" s="1">
        <v>1.91</v>
      </c>
      <c r="AV707" s="1">
        <v>3.21</v>
      </c>
    </row>
    <row r="708" spans="1:153" x14ac:dyDescent="0.2">
      <c r="A708" s="1" t="s">
        <v>4485</v>
      </c>
      <c r="B708" s="1" t="s">
        <v>57</v>
      </c>
      <c r="C708" s="1" t="s">
        <v>4463</v>
      </c>
      <c r="D708" s="1" t="s">
        <v>2</v>
      </c>
      <c r="E708" s="1">
        <v>56</v>
      </c>
      <c r="F708" s="1" t="s">
        <v>4464</v>
      </c>
      <c r="H708" s="1" t="s">
        <v>4465</v>
      </c>
      <c r="I708" s="1" t="s">
        <v>7</v>
      </c>
      <c r="J708" s="1" t="s">
        <v>4466</v>
      </c>
      <c r="K708" s="1" t="s">
        <v>4467</v>
      </c>
      <c r="L708" s="1" t="s">
        <v>4466</v>
      </c>
      <c r="M708" s="1" t="s">
        <v>4486</v>
      </c>
      <c r="P708" s="1" t="s">
        <v>4469</v>
      </c>
      <c r="Q708" s="1">
        <v>2011</v>
      </c>
      <c r="R708" s="1" t="s">
        <v>4470</v>
      </c>
      <c r="S708" s="1" t="s">
        <v>23</v>
      </c>
      <c r="T708" s="6">
        <v>1</v>
      </c>
      <c r="U708" s="1">
        <v>0.28299999999999997</v>
      </c>
      <c r="Z708" s="1">
        <v>84.51</v>
      </c>
      <c r="AA708" s="1">
        <v>6.25</v>
      </c>
      <c r="AB708" s="1">
        <v>1.37</v>
      </c>
      <c r="AD708" s="1">
        <v>8.52</v>
      </c>
      <c r="AG708" s="1">
        <v>0</v>
      </c>
      <c r="AH708" s="1">
        <v>0.87</v>
      </c>
      <c r="AR708" s="1">
        <v>0.38</v>
      </c>
      <c r="AV708" s="1">
        <v>3.05</v>
      </c>
    </row>
    <row r="709" spans="1:153" x14ac:dyDescent="0.2">
      <c r="A709" s="1" t="s">
        <v>4487</v>
      </c>
      <c r="B709" s="1" t="s">
        <v>57</v>
      </c>
      <c r="C709" s="1" t="s">
        <v>4463</v>
      </c>
      <c r="D709" s="1" t="s">
        <v>2</v>
      </c>
      <c r="E709" s="1">
        <v>56</v>
      </c>
      <c r="F709" s="1" t="s">
        <v>4464</v>
      </c>
      <c r="H709" s="1" t="s">
        <v>4465</v>
      </c>
      <c r="I709" s="1" t="s">
        <v>7</v>
      </c>
      <c r="J709" s="1" t="s">
        <v>4466</v>
      </c>
      <c r="K709" s="1" t="s">
        <v>4467</v>
      </c>
      <c r="L709" s="1" t="s">
        <v>4466</v>
      </c>
      <c r="M709" s="1" t="s">
        <v>4488</v>
      </c>
      <c r="P709" s="1" t="s">
        <v>4469</v>
      </c>
      <c r="Q709" s="1">
        <v>2011</v>
      </c>
      <c r="R709" s="1" t="s">
        <v>4470</v>
      </c>
      <c r="S709" s="1" t="s">
        <v>23</v>
      </c>
      <c r="T709" s="6">
        <v>1</v>
      </c>
      <c r="U709" s="1">
        <v>0.26500000000000001</v>
      </c>
      <c r="Z709" s="1">
        <v>84.61</v>
      </c>
      <c r="AA709" s="1">
        <v>6.25</v>
      </c>
      <c r="AB709" s="1">
        <v>1.47</v>
      </c>
      <c r="AD709" s="1">
        <v>7.47</v>
      </c>
      <c r="AG709" s="1">
        <v>270</v>
      </c>
      <c r="AH709" s="1">
        <v>0.72</v>
      </c>
      <c r="AR709" s="1">
        <v>1.47</v>
      </c>
      <c r="AV709" s="1">
        <v>2.83</v>
      </c>
    </row>
    <row r="710" spans="1:153" x14ac:dyDescent="0.2">
      <c r="A710" s="1" t="s">
        <v>4489</v>
      </c>
      <c r="B710" s="1" t="s">
        <v>57</v>
      </c>
      <c r="C710" s="1" t="s">
        <v>4463</v>
      </c>
      <c r="D710" s="1" t="s">
        <v>2</v>
      </c>
      <c r="E710" s="1">
        <v>56</v>
      </c>
      <c r="F710" s="1" t="s">
        <v>4464</v>
      </c>
      <c r="H710" s="1" t="s">
        <v>4465</v>
      </c>
      <c r="I710" s="1" t="s">
        <v>7</v>
      </c>
      <c r="J710" s="1" t="s">
        <v>4466</v>
      </c>
      <c r="K710" s="1" t="s">
        <v>4467</v>
      </c>
      <c r="L710" s="1" t="s">
        <v>4466</v>
      </c>
      <c r="M710" s="1" t="s">
        <v>4490</v>
      </c>
      <c r="P710" s="1" t="s">
        <v>4469</v>
      </c>
      <c r="Q710" s="1">
        <v>2011</v>
      </c>
      <c r="R710" s="1" t="s">
        <v>4470</v>
      </c>
      <c r="S710" s="1" t="s">
        <v>23</v>
      </c>
      <c r="T710" s="6">
        <v>1</v>
      </c>
      <c r="U710" s="1">
        <v>0.27200000000000002</v>
      </c>
      <c r="Z710" s="1">
        <v>84.43</v>
      </c>
      <c r="AA710" s="1">
        <v>6.25</v>
      </c>
      <c r="AB710" s="1">
        <v>1.44</v>
      </c>
      <c r="AD710" s="1">
        <v>7.6</v>
      </c>
      <c r="AG710" s="1">
        <v>220</v>
      </c>
      <c r="AH710" s="1">
        <v>1.23</v>
      </c>
      <c r="AR710" s="1">
        <v>2.62</v>
      </c>
      <c r="AV710" s="1">
        <v>2.89</v>
      </c>
    </row>
    <row r="711" spans="1:153" x14ac:dyDescent="0.2">
      <c r="A711" s="1" t="s">
        <v>4491</v>
      </c>
      <c r="B711" s="1" t="s">
        <v>57</v>
      </c>
      <c r="C711" s="1" t="s">
        <v>4463</v>
      </c>
      <c r="D711" s="1" t="s">
        <v>2</v>
      </c>
      <c r="E711" s="1">
        <v>56</v>
      </c>
      <c r="F711" s="1" t="s">
        <v>4464</v>
      </c>
      <c r="H711" s="1" t="s">
        <v>4465</v>
      </c>
      <c r="I711" s="1" t="s">
        <v>7</v>
      </c>
      <c r="J711" s="1" t="s">
        <v>4466</v>
      </c>
      <c r="K711" s="1" t="s">
        <v>4467</v>
      </c>
      <c r="L711" s="1" t="s">
        <v>4466</v>
      </c>
      <c r="M711" s="1" t="s">
        <v>4492</v>
      </c>
      <c r="P711" s="1" t="s">
        <v>4469</v>
      </c>
      <c r="Q711" s="1">
        <v>2011</v>
      </c>
      <c r="R711" s="1" t="s">
        <v>4470</v>
      </c>
      <c r="S711" s="1" t="s">
        <v>23</v>
      </c>
      <c r="T711" s="6">
        <v>1</v>
      </c>
      <c r="U711" s="1">
        <v>0.30199999999999999</v>
      </c>
      <c r="Z711" s="1">
        <v>86.37</v>
      </c>
      <c r="AA711" s="1">
        <v>6.25</v>
      </c>
      <c r="AB711" s="1">
        <v>1.19</v>
      </c>
      <c r="AD711" s="1">
        <v>6.25</v>
      </c>
      <c r="AG711" s="1">
        <v>190</v>
      </c>
      <c r="AH711" s="1">
        <v>0.26</v>
      </c>
      <c r="AR711" s="1">
        <v>1.35</v>
      </c>
      <c r="AV711" s="1">
        <v>2.88</v>
      </c>
    </row>
    <row r="712" spans="1:153" x14ac:dyDescent="0.2">
      <c r="A712" s="1" t="s">
        <v>4493</v>
      </c>
      <c r="B712" s="1" t="s">
        <v>57</v>
      </c>
      <c r="C712" s="1" t="s">
        <v>4463</v>
      </c>
      <c r="D712" s="1" t="s">
        <v>2</v>
      </c>
      <c r="E712" s="1">
        <v>56</v>
      </c>
      <c r="F712" s="1" t="s">
        <v>4464</v>
      </c>
      <c r="H712" s="1" t="s">
        <v>4465</v>
      </c>
      <c r="I712" s="1" t="s">
        <v>7</v>
      </c>
      <c r="J712" s="1" t="s">
        <v>4466</v>
      </c>
      <c r="K712" s="1" t="s">
        <v>4467</v>
      </c>
      <c r="L712" s="1" t="s">
        <v>4466</v>
      </c>
      <c r="M712" s="1" t="s">
        <v>4494</v>
      </c>
      <c r="P712" s="1" t="s">
        <v>4469</v>
      </c>
      <c r="Q712" s="1">
        <v>2011</v>
      </c>
      <c r="R712" s="1" t="s">
        <v>4470</v>
      </c>
      <c r="S712" s="1" t="s">
        <v>23</v>
      </c>
      <c r="T712" s="6">
        <v>1</v>
      </c>
      <c r="U712" s="1">
        <v>0.29599999999999999</v>
      </c>
      <c r="Z712" s="1">
        <v>86.85</v>
      </c>
      <c r="AA712" s="1">
        <v>6.25</v>
      </c>
      <c r="AB712" s="1">
        <v>1.21</v>
      </c>
      <c r="AD712" s="1">
        <v>6.69</v>
      </c>
      <c r="AG712" s="1">
        <v>140</v>
      </c>
      <c r="AH712" s="1">
        <v>0.48</v>
      </c>
      <c r="AR712" s="1">
        <v>0.96</v>
      </c>
      <c r="AV712" s="1">
        <v>2.74</v>
      </c>
    </row>
    <row r="713" spans="1:153" x14ac:dyDescent="0.2">
      <c r="A713" s="1" t="s">
        <v>4495</v>
      </c>
      <c r="B713" s="1" t="s">
        <v>57</v>
      </c>
      <c r="C713" s="1" t="s">
        <v>4463</v>
      </c>
      <c r="D713" s="1" t="s">
        <v>2</v>
      </c>
      <c r="E713" s="1">
        <v>56</v>
      </c>
      <c r="F713" s="1" t="s">
        <v>4464</v>
      </c>
      <c r="H713" s="1" t="s">
        <v>4465</v>
      </c>
      <c r="I713" s="1" t="s">
        <v>7</v>
      </c>
      <c r="J713" s="1" t="s">
        <v>4466</v>
      </c>
      <c r="K713" s="1" t="s">
        <v>4467</v>
      </c>
      <c r="L713" s="1" t="s">
        <v>4466</v>
      </c>
      <c r="M713" s="1" t="s">
        <v>4496</v>
      </c>
      <c r="P713" s="1" t="s">
        <v>4469</v>
      </c>
      <c r="Q713" s="1">
        <v>2011</v>
      </c>
      <c r="R713" s="1" t="s">
        <v>4470</v>
      </c>
      <c r="S713" s="1" t="s">
        <v>23</v>
      </c>
      <c r="T713" s="6">
        <v>1</v>
      </c>
      <c r="U713" s="1">
        <v>0.3</v>
      </c>
      <c r="Z713" s="1">
        <v>86.33</v>
      </c>
      <c r="AA713" s="1">
        <v>6.25</v>
      </c>
      <c r="AB713" s="1">
        <v>1.17</v>
      </c>
      <c r="AD713" s="1">
        <v>5.9</v>
      </c>
      <c r="AG713" s="1">
        <v>230</v>
      </c>
      <c r="AH713" s="1">
        <v>0.36</v>
      </c>
      <c r="AR713" s="1">
        <v>1.88</v>
      </c>
      <c r="AV713" s="1">
        <v>3.13</v>
      </c>
    </row>
    <row r="714" spans="1:153" x14ac:dyDescent="0.2">
      <c r="A714" s="1" t="s">
        <v>4497</v>
      </c>
      <c r="B714" s="1" t="s">
        <v>55</v>
      </c>
      <c r="C714" s="1" t="s">
        <v>4498</v>
      </c>
      <c r="D714" s="1" t="s">
        <v>2</v>
      </c>
      <c r="E714" s="1">
        <v>13</v>
      </c>
      <c r="F714" s="1" t="s">
        <v>4499</v>
      </c>
      <c r="H714" s="1" t="s">
        <v>4500</v>
      </c>
      <c r="I714" s="1" t="s">
        <v>7</v>
      </c>
      <c r="J714" s="1" t="s">
        <v>4501</v>
      </c>
      <c r="K714" s="1" t="s">
        <v>4502</v>
      </c>
      <c r="L714" s="1" t="s">
        <v>4503</v>
      </c>
      <c r="M714" s="1" t="s">
        <v>4504</v>
      </c>
      <c r="N714" s="1" t="s">
        <v>4505</v>
      </c>
      <c r="P714" s="1" t="s">
        <v>1270</v>
      </c>
      <c r="Q714" s="1">
        <v>2006</v>
      </c>
      <c r="R714" s="1" t="s">
        <v>4506</v>
      </c>
      <c r="S714" s="1" t="s">
        <v>23</v>
      </c>
      <c r="T714" s="6">
        <v>1</v>
      </c>
      <c r="AH714" s="1">
        <v>1.1599999999999999</v>
      </c>
      <c r="AK714" s="1">
        <v>0.26111983999999999</v>
      </c>
      <c r="AL714" s="1">
        <v>0.15498120000000001</v>
      </c>
    </row>
    <row r="715" spans="1:153" x14ac:dyDescent="0.2">
      <c r="A715" s="1" t="s">
        <v>4507</v>
      </c>
      <c r="B715" s="1" t="s">
        <v>55</v>
      </c>
      <c r="C715" s="1" t="s">
        <v>4508</v>
      </c>
      <c r="D715" s="1" t="s">
        <v>2</v>
      </c>
      <c r="E715" s="1">
        <v>13</v>
      </c>
      <c r="F715" s="1" t="s">
        <v>4499</v>
      </c>
      <c r="H715" s="1" t="s">
        <v>4509</v>
      </c>
      <c r="I715" s="1" t="s">
        <v>7</v>
      </c>
      <c r="J715" s="1" t="s">
        <v>4501</v>
      </c>
      <c r="K715" s="1" t="s">
        <v>4502</v>
      </c>
      <c r="L715" s="1" t="s">
        <v>4503</v>
      </c>
      <c r="M715" s="1" t="s">
        <v>4504</v>
      </c>
      <c r="N715" s="1" t="s">
        <v>4510</v>
      </c>
      <c r="P715" s="1" t="s">
        <v>1270</v>
      </c>
      <c r="Q715" s="1">
        <v>2006</v>
      </c>
      <c r="R715" s="1" t="s">
        <v>4506</v>
      </c>
      <c r="S715" s="1" t="s">
        <v>23</v>
      </c>
      <c r="T715" s="6">
        <v>1</v>
      </c>
      <c r="AH715" s="1">
        <v>1.26</v>
      </c>
      <c r="AK715" s="1">
        <v>0.27569885999999999</v>
      </c>
      <c r="AL715" s="1">
        <v>0.17966892000000001</v>
      </c>
    </row>
    <row r="716" spans="1:153" x14ac:dyDescent="0.2">
      <c r="A716" s="1" t="s">
        <v>4511</v>
      </c>
      <c r="B716" s="1" t="s">
        <v>55</v>
      </c>
      <c r="C716" s="1" t="s">
        <v>4512</v>
      </c>
      <c r="D716" s="1" t="s">
        <v>2</v>
      </c>
      <c r="E716" s="1">
        <v>13</v>
      </c>
      <c r="F716" s="1" t="s">
        <v>4499</v>
      </c>
      <c r="H716" s="1" t="s">
        <v>4513</v>
      </c>
      <c r="I716" s="1" t="s">
        <v>7</v>
      </c>
      <c r="J716" s="1" t="s">
        <v>4501</v>
      </c>
      <c r="K716" s="1" t="s">
        <v>4502</v>
      </c>
      <c r="L716" s="1" t="s">
        <v>4503</v>
      </c>
      <c r="M716" s="1" t="s">
        <v>4504</v>
      </c>
      <c r="N716" s="1" t="s">
        <v>4514</v>
      </c>
      <c r="P716" s="1" t="s">
        <v>1270</v>
      </c>
      <c r="Q716" s="1">
        <v>2006</v>
      </c>
      <c r="R716" s="1" t="s">
        <v>4506</v>
      </c>
      <c r="S716" s="1" t="s">
        <v>23</v>
      </c>
      <c r="T716" s="6">
        <v>1</v>
      </c>
      <c r="AH716" s="1">
        <v>1.48</v>
      </c>
      <c r="AK716" s="1">
        <v>0.31069784</v>
      </c>
      <c r="AL716" s="1">
        <v>0.2351896</v>
      </c>
    </row>
    <row r="717" spans="1:153" x14ac:dyDescent="0.2">
      <c r="A717" s="1" t="s">
        <v>4515</v>
      </c>
      <c r="B717" s="1" t="s">
        <v>55</v>
      </c>
      <c r="C717" s="1" t="s">
        <v>4516</v>
      </c>
      <c r="E717" s="1">
        <v>35</v>
      </c>
      <c r="F717" s="1" t="s">
        <v>4517</v>
      </c>
      <c r="G717" s="1" t="s">
        <v>4518</v>
      </c>
      <c r="H717" s="1" t="s">
        <v>4519</v>
      </c>
      <c r="I717" s="1" t="s">
        <v>7</v>
      </c>
      <c r="J717" s="1" t="s">
        <v>4520</v>
      </c>
      <c r="K717" s="1" t="s">
        <v>4521</v>
      </c>
      <c r="L717" s="1" t="s">
        <v>4520</v>
      </c>
      <c r="M717" s="1" t="s">
        <v>4522</v>
      </c>
      <c r="N717" s="1" t="s">
        <v>4523</v>
      </c>
      <c r="O717" s="1" t="s">
        <v>4518</v>
      </c>
      <c r="P717" s="1" t="s">
        <v>1270</v>
      </c>
      <c r="Q717" s="1">
        <v>2003</v>
      </c>
      <c r="R717" s="1" t="s">
        <v>4524</v>
      </c>
      <c r="S717" s="1" t="s">
        <v>23</v>
      </c>
      <c r="T717" s="6">
        <v>1</v>
      </c>
      <c r="AH717" s="1">
        <v>4</v>
      </c>
      <c r="EW717" s="1">
        <v>72.599999999999994</v>
      </c>
    </row>
    <row r="718" spans="1:153" x14ac:dyDescent="0.2">
      <c r="A718" s="1" t="s">
        <v>4525</v>
      </c>
      <c r="B718" s="1" t="s">
        <v>55</v>
      </c>
      <c r="C718" s="1" t="s">
        <v>4516</v>
      </c>
      <c r="E718" s="1">
        <v>33</v>
      </c>
      <c r="F718" s="1" t="s">
        <v>4526</v>
      </c>
      <c r="G718" s="1" t="s">
        <v>4518</v>
      </c>
      <c r="H718" s="1" t="s">
        <v>4527</v>
      </c>
      <c r="I718" s="1" t="s">
        <v>7</v>
      </c>
      <c r="J718" s="1" t="s">
        <v>4528</v>
      </c>
      <c r="K718" s="1" t="s">
        <v>4529</v>
      </c>
      <c r="L718" s="1" t="s">
        <v>4528</v>
      </c>
      <c r="M718" s="1" t="s">
        <v>4522</v>
      </c>
      <c r="N718" s="1" t="s">
        <v>4530</v>
      </c>
      <c r="O718" s="1" t="s">
        <v>4518</v>
      </c>
      <c r="P718" s="1" t="s">
        <v>1270</v>
      </c>
      <c r="Q718" s="1">
        <v>2003</v>
      </c>
      <c r="R718" s="1" t="s">
        <v>4524</v>
      </c>
      <c r="S718" s="1" t="s">
        <v>23</v>
      </c>
      <c r="T718" s="6">
        <v>1</v>
      </c>
      <c r="AH718" s="1">
        <v>0.6</v>
      </c>
      <c r="EW718" s="1">
        <v>71.599999999999994</v>
      </c>
    </row>
    <row r="719" spans="1:153" x14ac:dyDescent="0.2">
      <c r="A719" s="1" t="s">
        <v>4531</v>
      </c>
      <c r="B719" s="1" t="s">
        <v>55</v>
      </c>
      <c r="C719" s="1" t="s">
        <v>4516</v>
      </c>
      <c r="E719" s="1">
        <v>12</v>
      </c>
      <c r="F719" s="1" t="s">
        <v>2516</v>
      </c>
      <c r="G719" s="1" t="s">
        <v>4518</v>
      </c>
      <c r="H719" s="1" t="s">
        <v>4532</v>
      </c>
      <c r="I719" s="1" t="s">
        <v>7</v>
      </c>
      <c r="J719" s="1" t="s">
        <v>4533</v>
      </c>
      <c r="K719" s="1" t="s">
        <v>2520</v>
      </c>
      <c r="L719" s="1" t="s">
        <v>2521</v>
      </c>
      <c r="M719" s="1" t="s">
        <v>4522</v>
      </c>
      <c r="N719" s="1" t="s">
        <v>4534</v>
      </c>
      <c r="O719" s="1" t="s">
        <v>4518</v>
      </c>
      <c r="P719" s="1" t="s">
        <v>1270</v>
      </c>
      <c r="Q719" s="1">
        <v>2003</v>
      </c>
      <c r="R719" s="1" t="s">
        <v>4524</v>
      </c>
      <c r="S719" s="1" t="s">
        <v>23</v>
      </c>
      <c r="T719" s="6">
        <v>1</v>
      </c>
      <c r="AH719" s="1">
        <v>1.92</v>
      </c>
      <c r="EW719" s="1">
        <v>66.8</v>
      </c>
    </row>
    <row r="720" spans="1:153" x14ac:dyDescent="0.2">
      <c r="A720" s="1" t="s">
        <v>4535</v>
      </c>
      <c r="B720" s="1" t="s">
        <v>55</v>
      </c>
      <c r="C720" s="1" t="s">
        <v>4516</v>
      </c>
      <c r="D720" s="1" t="s">
        <v>4518</v>
      </c>
      <c r="E720" s="1">
        <v>13</v>
      </c>
      <c r="F720" s="1" t="s">
        <v>4104</v>
      </c>
      <c r="H720" s="1" t="s">
        <v>4536</v>
      </c>
      <c r="I720" s="1" t="s">
        <v>7</v>
      </c>
      <c r="J720" s="1" t="s">
        <v>4109</v>
      </c>
      <c r="K720" s="1" t="s">
        <v>4108</v>
      </c>
      <c r="L720" s="1" t="s">
        <v>4109</v>
      </c>
      <c r="M720" s="1" t="s">
        <v>4522</v>
      </c>
      <c r="N720" s="1" t="s">
        <v>4537</v>
      </c>
      <c r="O720" s="1" t="s">
        <v>4518</v>
      </c>
      <c r="P720" s="1" t="s">
        <v>1270</v>
      </c>
      <c r="Q720" s="1">
        <v>2003</v>
      </c>
      <c r="R720" s="1" t="s">
        <v>4524</v>
      </c>
      <c r="S720" s="1" t="s">
        <v>23</v>
      </c>
      <c r="T720" s="6">
        <v>1</v>
      </c>
      <c r="AH720" s="1">
        <v>9.6999999999999993</v>
      </c>
      <c r="EW720" s="1">
        <v>92</v>
      </c>
    </row>
    <row r="721" spans="1:153" x14ac:dyDescent="0.2">
      <c r="A721" s="1" t="s">
        <v>4538</v>
      </c>
      <c r="B721" s="1" t="s">
        <v>1912</v>
      </c>
      <c r="C721" s="1" t="s">
        <v>4516</v>
      </c>
      <c r="D721" s="1" t="s">
        <v>4518</v>
      </c>
      <c r="E721" s="1">
        <v>45</v>
      </c>
      <c r="F721" s="1" t="s">
        <v>4539</v>
      </c>
      <c r="G721" s="1" t="s">
        <v>4518</v>
      </c>
      <c r="H721" s="1" t="s">
        <v>4540</v>
      </c>
      <c r="I721" s="1" t="s">
        <v>7</v>
      </c>
      <c r="J721" s="1" t="s">
        <v>4541</v>
      </c>
      <c r="K721" s="1" t="s">
        <v>4542</v>
      </c>
      <c r="L721" s="1" t="s">
        <v>4541</v>
      </c>
      <c r="M721" s="1" t="s">
        <v>4522</v>
      </c>
      <c r="N721" s="1" t="s">
        <v>4543</v>
      </c>
      <c r="O721" s="1" t="s">
        <v>4518</v>
      </c>
      <c r="P721" s="1" t="s">
        <v>1270</v>
      </c>
      <c r="Q721" s="1">
        <v>2003</v>
      </c>
      <c r="R721" s="1" t="s">
        <v>4524</v>
      </c>
      <c r="S721" s="1" t="s">
        <v>23</v>
      </c>
      <c r="T721" s="6">
        <v>1</v>
      </c>
      <c r="AH721" s="1">
        <v>0.94</v>
      </c>
      <c r="EW721" s="1">
        <v>165.4</v>
      </c>
    </row>
    <row r="722" spans="1:153" x14ac:dyDescent="0.2">
      <c r="A722" s="1" t="s">
        <v>4544</v>
      </c>
      <c r="B722" s="1" t="s">
        <v>55</v>
      </c>
      <c r="C722" s="1" t="s">
        <v>4516</v>
      </c>
      <c r="D722" s="1" t="s">
        <v>4518</v>
      </c>
      <c r="E722" s="1">
        <v>35</v>
      </c>
      <c r="F722" s="1" t="s">
        <v>4517</v>
      </c>
      <c r="G722" s="1" t="s">
        <v>4518</v>
      </c>
      <c r="H722" s="1" t="s">
        <v>4519</v>
      </c>
      <c r="I722" s="1" t="s">
        <v>7</v>
      </c>
      <c r="J722" s="1" t="s">
        <v>4520</v>
      </c>
      <c r="K722" s="1" t="s">
        <v>4521</v>
      </c>
      <c r="L722" s="1" t="s">
        <v>4520</v>
      </c>
      <c r="M722" s="1" t="s">
        <v>4545</v>
      </c>
      <c r="N722" s="1" t="s">
        <v>4546</v>
      </c>
      <c r="O722" s="1" t="s">
        <v>4518</v>
      </c>
      <c r="P722" s="1" t="s">
        <v>1270</v>
      </c>
      <c r="Q722" s="1">
        <v>2003</v>
      </c>
      <c r="R722" s="1" t="s">
        <v>4524</v>
      </c>
      <c r="S722" s="1" t="s">
        <v>23</v>
      </c>
      <c r="T722" s="6">
        <v>1</v>
      </c>
      <c r="AH722" s="1">
        <v>10.62</v>
      </c>
      <c r="EW722" s="1">
        <v>86.4</v>
      </c>
    </row>
    <row r="723" spans="1:153" x14ac:dyDescent="0.2">
      <c r="A723" s="1" t="s">
        <v>4547</v>
      </c>
      <c r="B723" s="1" t="s">
        <v>55</v>
      </c>
      <c r="C723" s="1" t="s">
        <v>4516</v>
      </c>
      <c r="D723" s="1" t="s">
        <v>4518</v>
      </c>
      <c r="E723" s="1">
        <v>33</v>
      </c>
      <c r="F723" s="1" t="s">
        <v>4526</v>
      </c>
      <c r="G723" s="1" t="s">
        <v>4518</v>
      </c>
      <c r="H723" s="1" t="s">
        <v>4527</v>
      </c>
      <c r="I723" s="1" t="s">
        <v>7</v>
      </c>
      <c r="J723" s="1" t="s">
        <v>4528</v>
      </c>
      <c r="K723" s="1" t="s">
        <v>4529</v>
      </c>
      <c r="L723" s="1" t="s">
        <v>4528</v>
      </c>
      <c r="M723" s="1" t="s">
        <v>4545</v>
      </c>
      <c r="N723" s="1" t="s">
        <v>4548</v>
      </c>
      <c r="O723" s="1" t="s">
        <v>4518</v>
      </c>
      <c r="P723" s="1" t="s">
        <v>1270</v>
      </c>
      <c r="Q723" s="1">
        <v>2003</v>
      </c>
      <c r="R723" s="1" t="s">
        <v>4524</v>
      </c>
      <c r="S723" s="1" t="s">
        <v>23</v>
      </c>
      <c r="T723" s="6">
        <v>1</v>
      </c>
      <c r="AH723" s="1">
        <v>3.29</v>
      </c>
      <c r="EW723" s="1">
        <v>83</v>
      </c>
    </row>
    <row r="724" spans="1:153" x14ac:dyDescent="0.2">
      <c r="A724" s="1" t="s">
        <v>4549</v>
      </c>
      <c r="B724" s="1" t="s">
        <v>55</v>
      </c>
      <c r="C724" s="1" t="s">
        <v>4516</v>
      </c>
      <c r="D724" s="1" t="s">
        <v>4518</v>
      </c>
      <c r="E724" s="1">
        <v>12</v>
      </c>
      <c r="F724" s="1" t="s">
        <v>2516</v>
      </c>
      <c r="G724" s="1" t="s">
        <v>4518</v>
      </c>
      <c r="H724" s="1" t="s">
        <v>4532</v>
      </c>
      <c r="I724" s="1" t="s">
        <v>7</v>
      </c>
      <c r="J724" s="1" t="s">
        <v>4533</v>
      </c>
      <c r="K724" s="1" t="s">
        <v>2520</v>
      </c>
      <c r="L724" s="1" t="s">
        <v>2521</v>
      </c>
      <c r="M724" s="1" t="s">
        <v>4545</v>
      </c>
      <c r="N724" s="1" t="s">
        <v>4550</v>
      </c>
      <c r="O724" s="1" t="s">
        <v>4518</v>
      </c>
      <c r="P724" s="1" t="s">
        <v>1270</v>
      </c>
      <c r="Q724" s="1">
        <v>2003</v>
      </c>
      <c r="R724" s="1" t="s">
        <v>4524</v>
      </c>
      <c r="S724" s="1" t="s">
        <v>23</v>
      </c>
      <c r="T724" s="6">
        <v>1</v>
      </c>
      <c r="AH724" s="1">
        <v>1.33</v>
      </c>
      <c r="EW724" s="1">
        <v>71.400000000000006</v>
      </c>
    </row>
    <row r="725" spans="1:153" x14ac:dyDescent="0.2">
      <c r="A725" s="1" t="s">
        <v>4551</v>
      </c>
      <c r="B725" s="1" t="s">
        <v>55</v>
      </c>
      <c r="C725" s="1" t="s">
        <v>4516</v>
      </c>
      <c r="D725" s="1" t="s">
        <v>4518</v>
      </c>
      <c r="E725" s="1">
        <v>13</v>
      </c>
      <c r="F725" s="1" t="s">
        <v>4104</v>
      </c>
      <c r="H725" s="1" t="s">
        <v>4536</v>
      </c>
      <c r="I725" s="1" t="s">
        <v>7</v>
      </c>
      <c r="J725" s="1" t="s">
        <v>4109</v>
      </c>
      <c r="K725" s="1" t="s">
        <v>4108</v>
      </c>
      <c r="L725" s="1" t="s">
        <v>4109</v>
      </c>
      <c r="M725" s="1" t="s">
        <v>4545</v>
      </c>
      <c r="N725" s="1" t="s">
        <v>4552</v>
      </c>
      <c r="O725" s="1" t="s">
        <v>4518</v>
      </c>
      <c r="P725" s="1" t="s">
        <v>1270</v>
      </c>
      <c r="Q725" s="1">
        <v>2003</v>
      </c>
      <c r="R725" s="1" t="s">
        <v>4524</v>
      </c>
      <c r="S725" s="1" t="s">
        <v>23</v>
      </c>
      <c r="T725" s="6">
        <v>1</v>
      </c>
      <c r="AH725" s="1">
        <v>6.67</v>
      </c>
      <c r="EW725" s="1">
        <v>72.400000000000006</v>
      </c>
    </row>
    <row r="726" spans="1:153" x14ac:dyDescent="0.2">
      <c r="A726" s="1" t="s">
        <v>4553</v>
      </c>
      <c r="B726" s="1" t="s">
        <v>1912</v>
      </c>
      <c r="C726" s="1" t="s">
        <v>4516</v>
      </c>
      <c r="D726" s="1" t="s">
        <v>4518</v>
      </c>
      <c r="E726" s="1">
        <v>45</v>
      </c>
      <c r="F726" s="1" t="s">
        <v>4539</v>
      </c>
      <c r="G726" s="1" t="s">
        <v>4518</v>
      </c>
      <c r="H726" s="1" t="s">
        <v>4540</v>
      </c>
      <c r="I726" s="1" t="s">
        <v>7</v>
      </c>
      <c r="J726" s="1" t="s">
        <v>4541</v>
      </c>
      <c r="K726" s="1" t="s">
        <v>4542</v>
      </c>
      <c r="L726" s="1" t="s">
        <v>4541</v>
      </c>
      <c r="M726" s="1" t="s">
        <v>4545</v>
      </c>
      <c r="N726" s="1" t="s">
        <v>4554</v>
      </c>
      <c r="O726" s="1" t="s">
        <v>4518</v>
      </c>
      <c r="P726" s="1" t="s">
        <v>1270</v>
      </c>
      <c r="Q726" s="1">
        <v>2003</v>
      </c>
      <c r="R726" s="1" t="s">
        <v>4524</v>
      </c>
      <c r="S726" s="1" t="s">
        <v>23</v>
      </c>
      <c r="T726" s="6">
        <v>1</v>
      </c>
      <c r="AH726" s="1">
        <v>1.1599999999999999</v>
      </c>
      <c r="EW726" s="1">
        <v>164.8</v>
      </c>
    </row>
    <row r="727" spans="1:153" x14ac:dyDescent="0.2">
      <c r="A727" s="1" t="s">
        <v>4555</v>
      </c>
      <c r="B727" s="1" t="s">
        <v>1912</v>
      </c>
      <c r="C727" s="1" t="s">
        <v>4556</v>
      </c>
      <c r="E727" s="1">
        <v>42</v>
      </c>
      <c r="F727" s="1" t="s">
        <v>4557</v>
      </c>
      <c r="H727" s="1" t="s">
        <v>4558</v>
      </c>
      <c r="I727" s="1" t="s">
        <v>7</v>
      </c>
      <c r="J727" s="1" t="s">
        <v>4559</v>
      </c>
      <c r="K727" s="1" t="s">
        <v>4560</v>
      </c>
      <c r="L727" s="1" t="s">
        <v>4561</v>
      </c>
      <c r="P727" s="1" t="s">
        <v>1270</v>
      </c>
      <c r="Q727" s="1">
        <v>2010</v>
      </c>
      <c r="R727" s="1" t="s">
        <v>4562</v>
      </c>
      <c r="S727" s="1" t="s">
        <v>23</v>
      </c>
      <c r="T727" s="6">
        <v>1</v>
      </c>
      <c r="U727" s="1">
        <v>0.32300000000000001</v>
      </c>
      <c r="V727" s="1">
        <v>347.4</v>
      </c>
      <c r="Z727" s="1">
        <v>79.2</v>
      </c>
      <c r="AA727" s="1">
        <v>6.25</v>
      </c>
      <c r="AC727" s="1">
        <v>15.7</v>
      </c>
      <c r="AI727" s="1">
        <v>0.32</v>
      </c>
      <c r="AK727" s="1">
        <v>3.0534140160000001E-2</v>
      </c>
      <c r="AL727" s="1">
        <v>3.3328690559999999E-2</v>
      </c>
      <c r="AM727" s="1">
        <v>7.6747178880000003E-2</v>
      </c>
      <c r="AV727" s="1">
        <v>2.5499999999999998</v>
      </c>
      <c r="AX727" s="1">
        <v>3680</v>
      </c>
      <c r="AY727" s="1">
        <v>78.7</v>
      </c>
      <c r="AZ727" s="1">
        <v>495</v>
      </c>
      <c r="BD727" s="1">
        <v>1.19</v>
      </c>
      <c r="BF727" s="1">
        <v>1.07</v>
      </c>
      <c r="BH727" s="1">
        <v>226</v>
      </c>
      <c r="BJ727" s="1">
        <v>61.2</v>
      </c>
      <c r="BK727" s="1">
        <v>0.06</v>
      </c>
      <c r="BM727" s="1">
        <v>396</v>
      </c>
      <c r="BO727" s="1" t="s">
        <v>15</v>
      </c>
      <c r="BQ727" s="1">
        <v>0.06</v>
      </c>
      <c r="BR727" s="1">
        <v>235</v>
      </c>
      <c r="BS727" s="1">
        <v>90</v>
      </c>
      <c r="BW727" s="1">
        <v>6.28</v>
      </c>
      <c r="BY727" s="1">
        <v>2380</v>
      </c>
      <c r="CA727" s="1">
        <v>0</v>
      </c>
      <c r="CB727" s="1">
        <v>10</v>
      </c>
      <c r="CC727" s="1">
        <v>0</v>
      </c>
      <c r="CE727" s="1">
        <v>2070</v>
      </c>
      <c r="DR727" s="1">
        <v>6868</v>
      </c>
      <c r="DS727" s="1">
        <v>14860</v>
      </c>
      <c r="DT727" s="1">
        <v>7992</v>
      </c>
      <c r="DU727" s="1">
        <v>936</v>
      </c>
      <c r="DV727" s="1">
        <v>1566</v>
      </c>
      <c r="DX727" s="1">
        <v>1354</v>
      </c>
      <c r="DZ727" s="1" t="s">
        <v>4357</v>
      </c>
      <c r="EA727" s="1">
        <v>2156</v>
      </c>
      <c r="EB727" s="1">
        <v>1139</v>
      </c>
      <c r="EC727" s="1">
        <v>292</v>
      </c>
      <c r="EE727" s="1">
        <v>401</v>
      </c>
      <c r="EF727" s="1">
        <v>681</v>
      </c>
      <c r="EG727" s="1">
        <v>1028</v>
      </c>
      <c r="EH727" s="1">
        <v>958</v>
      </c>
      <c r="EI727" s="1">
        <v>300</v>
      </c>
      <c r="EK727" s="1">
        <v>572</v>
      </c>
      <c r="EL727" s="1">
        <v>538</v>
      </c>
      <c r="EM727" s="1">
        <v>563</v>
      </c>
      <c r="EN727" s="1">
        <v>363</v>
      </c>
      <c r="EO727" s="1">
        <v>736</v>
      </c>
      <c r="EQ727" s="1">
        <v>534</v>
      </c>
      <c r="ER727" s="1">
        <v>711</v>
      </c>
      <c r="EW727" s="1">
        <v>37.130000000000003</v>
      </c>
    </row>
    <row r="728" spans="1:153" x14ac:dyDescent="0.2">
      <c r="A728" s="1" t="s">
        <v>4563</v>
      </c>
      <c r="B728" s="1" t="s">
        <v>1912</v>
      </c>
      <c r="C728" s="1" t="s">
        <v>4556</v>
      </c>
      <c r="E728" s="1">
        <v>42</v>
      </c>
      <c r="F728" s="1" t="s">
        <v>4557</v>
      </c>
      <c r="H728" s="1" t="s">
        <v>4564</v>
      </c>
      <c r="I728" s="1" t="s">
        <v>7</v>
      </c>
      <c r="J728" s="1" t="s">
        <v>4559</v>
      </c>
      <c r="K728" s="1" t="s">
        <v>4560</v>
      </c>
      <c r="L728" s="1" t="s">
        <v>4561</v>
      </c>
      <c r="P728" s="1" t="s">
        <v>1270</v>
      </c>
      <c r="Q728" s="1">
        <v>2010</v>
      </c>
      <c r="R728" s="1" t="s">
        <v>4562</v>
      </c>
      <c r="S728" s="1" t="s">
        <v>23</v>
      </c>
      <c r="T728" s="6">
        <v>1</v>
      </c>
      <c r="U728" s="1">
        <v>0.22500000000000001</v>
      </c>
      <c r="V728" s="1">
        <v>665.7</v>
      </c>
      <c r="Z728" s="1" t="s">
        <v>4565</v>
      </c>
      <c r="AA728" s="1">
        <v>6.25</v>
      </c>
      <c r="AC728" s="1" t="s">
        <v>4566</v>
      </c>
      <c r="AI728" s="1" t="s">
        <v>4567</v>
      </c>
      <c r="AK728" s="1">
        <v>0.23655494799999999</v>
      </c>
      <c r="AL728" s="1">
        <v>0.288015664</v>
      </c>
      <c r="AM728" s="1">
        <v>0.44106250400000002</v>
      </c>
      <c r="AV728" s="1" t="s">
        <v>4568</v>
      </c>
      <c r="AX728" s="1">
        <v>3480</v>
      </c>
      <c r="AY728" s="1">
        <v>24</v>
      </c>
      <c r="AZ728" s="1">
        <v>456</v>
      </c>
      <c r="BD728" s="1">
        <v>1.1299999999999999</v>
      </c>
      <c r="BF728" s="1">
        <v>2.97</v>
      </c>
      <c r="BH728" s="1">
        <v>249</v>
      </c>
      <c r="BJ728" s="1">
        <v>23</v>
      </c>
      <c r="BK728" s="1">
        <v>0.23</v>
      </c>
      <c r="BM728" s="1">
        <v>195</v>
      </c>
      <c r="BO728" s="1" t="s">
        <v>15</v>
      </c>
      <c r="BQ728" s="1">
        <v>0.09</v>
      </c>
      <c r="BR728" s="1">
        <v>529</v>
      </c>
      <c r="BS728" s="1">
        <v>330</v>
      </c>
      <c r="BW728" s="1">
        <v>5.15</v>
      </c>
      <c r="BY728" s="1">
        <v>5020</v>
      </c>
      <c r="CA728" s="1">
        <v>0</v>
      </c>
      <c r="CB728" s="1">
        <v>0</v>
      </c>
      <c r="CC728" s="1">
        <v>0</v>
      </c>
      <c r="CE728" s="1">
        <v>490</v>
      </c>
      <c r="DR728" s="1">
        <v>8117</v>
      </c>
      <c r="DS728" s="1">
        <v>17544</v>
      </c>
      <c r="DT728" s="1">
        <v>9427</v>
      </c>
      <c r="DU728" s="1">
        <v>915</v>
      </c>
      <c r="DV728" s="1">
        <v>1305</v>
      </c>
      <c r="DX728" s="1">
        <v>1513</v>
      </c>
      <c r="DZ728" s="1" t="s">
        <v>6710</v>
      </c>
      <c r="EA728" s="1">
        <v>2251</v>
      </c>
      <c r="EB728" s="1">
        <v>900</v>
      </c>
      <c r="EC728" s="1">
        <v>480</v>
      </c>
      <c r="EE728" s="1">
        <v>706</v>
      </c>
      <c r="EF728" s="1">
        <v>853</v>
      </c>
      <c r="EG728" s="1">
        <v>1241</v>
      </c>
      <c r="EH728" s="1">
        <v>1052</v>
      </c>
      <c r="EI728" s="1">
        <v>284</v>
      </c>
      <c r="EK728" s="1">
        <v>657</v>
      </c>
      <c r="EL728" s="1">
        <v>874</v>
      </c>
      <c r="EM728" s="1">
        <v>1166</v>
      </c>
      <c r="EN728" s="1">
        <v>376</v>
      </c>
      <c r="EO728" s="1">
        <v>1174</v>
      </c>
      <c r="EQ728" s="1">
        <v>706</v>
      </c>
      <c r="ER728" s="1">
        <v>1039</v>
      </c>
      <c r="EW728" s="1">
        <v>133.1</v>
      </c>
    </row>
    <row r="729" spans="1:153" x14ac:dyDescent="0.2">
      <c r="A729" s="1" t="s">
        <v>4569</v>
      </c>
      <c r="B729" s="1" t="s">
        <v>1912</v>
      </c>
      <c r="C729" s="1" t="s">
        <v>4556</v>
      </c>
      <c r="E729" s="1">
        <v>42</v>
      </c>
      <c r="F729" s="1" t="s">
        <v>4557</v>
      </c>
      <c r="H729" s="1" t="s">
        <v>4570</v>
      </c>
      <c r="I729" s="1" t="s">
        <v>7</v>
      </c>
      <c r="J729" s="1" t="s">
        <v>4559</v>
      </c>
      <c r="K729" s="1" t="s">
        <v>4560</v>
      </c>
      <c r="L729" s="1" t="s">
        <v>4561</v>
      </c>
      <c r="Q729" s="1">
        <v>2010</v>
      </c>
      <c r="R729" s="1" t="s">
        <v>4562</v>
      </c>
      <c r="S729" s="1" t="s">
        <v>23</v>
      </c>
      <c r="T729" s="6">
        <v>1</v>
      </c>
      <c r="AX729" s="1">
        <v>70700</v>
      </c>
      <c r="AY729" s="1">
        <v>59.9</v>
      </c>
      <c r="AZ729" s="1">
        <v>824</v>
      </c>
      <c r="BD729" s="1">
        <v>3.1</v>
      </c>
      <c r="BF729" s="1">
        <v>14.1</v>
      </c>
      <c r="BH729" s="1">
        <v>62.4</v>
      </c>
      <c r="BO729" s="1">
        <v>150</v>
      </c>
      <c r="BQ729" s="1">
        <v>0.25</v>
      </c>
      <c r="BR729" s="1">
        <v>132</v>
      </c>
      <c r="BS729" s="1">
        <v>80</v>
      </c>
      <c r="BW729" s="1">
        <v>0.9</v>
      </c>
      <c r="BY729" s="1">
        <v>760</v>
      </c>
      <c r="CB729" s="1">
        <v>10</v>
      </c>
      <c r="CE729" s="1">
        <v>1940</v>
      </c>
    </row>
    <row r="730" spans="1:153" x14ac:dyDescent="0.2">
      <c r="A730" s="1" t="s">
        <v>4571</v>
      </c>
      <c r="B730" s="1" t="s">
        <v>1912</v>
      </c>
      <c r="C730" s="1" t="s">
        <v>2595</v>
      </c>
      <c r="E730" s="1">
        <v>43</v>
      </c>
      <c r="F730" s="1" t="s">
        <v>1913</v>
      </c>
      <c r="H730" s="1" t="s">
        <v>4572</v>
      </c>
      <c r="I730" s="1" t="s">
        <v>7</v>
      </c>
      <c r="J730" s="1" t="s">
        <v>1915</v>
      </c>
      <c r="K730" s="1" t="s">
        <v>4573</v>
      </c>
      <c r="L730" s="1" t="s">
        <v>1915</v>
      </c>
      <c r="M730" s="1" t="s">
        <v>4574</v>
      </c>
      <c r="N730" s="1" t="s">
        <v>4575</v>
      </c>
      <c r="P730" s="1" t="s">
        <v>1270</v>
      </c>
      <c r="Q730" s="1">
        <v>2009</v>
      </c>
      <c r="R730" s="1" t="s">
        <v>4576</v>
      </c>
      <c r="S730" s="1" t="s">
        <v>23</v>
      </c>
      <c r="T730" s="6">
        <v>1</v>
      </c>
      <c r="W730" s="1">
        <v>87</v>
      </c>
      <c r="Z730" s="1">
        <v>78.099999999999994</v>
      </c>
      <c r="AA730" s="1">
        <v>6.25</v>
      </c>
      <c r="AC730" s="1">
        <v>18.3</v>
      </c>
      <c r="AI730" s="1">
        <v>0.3</v>
      </c>
      <c r="AK730" s="1">
        <v>3.1300803000000002E-2</v>
      </c>
      <c r="AL730" s="1">
        <v>3.9712032000000001E-2</v>
      </c>
      <c r="AM730" s="1">
        <v>6.0119604E-2</v>
      </c>
      <c r="AV730" s="1">
        <v>1.8</v>
      </c>
      <c r="DS730" s="1">
        <v>17040</v>
      </c>
      <c r="EW730" s="1">
        <v>36.6</v>
      </c>
    </row>
    <row r="731" spans="1:153" x14ac:dyDescent="0.2">
      <c r="A731" s="1" t="s">
        <v>4577</v>
      </c>
      <c r="B731" s="1" t="s">
        <v>1912</v>
      </c>
      <c r="C731" s="1" t="s">
        <v>2595</v>
      </c>
      <c r="E731" s="1">
        <v>43</v>
      </c>
      <c r="F731" s="1" t="s">
        <v>1913</v>
      </c>
      <c r="H731" s="1" t="s">
        <v>4578</v>
      </c>
      <c r="I731" s="1" t="s">
        <v>7</v>
      </c>
      <c r="J731" s="1" t="s">
        <v>1915</v>
      </c>
      <c r="K731" s="1" t="s">
        <v>4573</v>
      </c>
      <c r="L731" s="1" t="s">
        <v>1915</v>
      </c>
      <c r="M731" s="1" t="s">
        <v>4574</v>
      </c>
      <c r="N731" s="1" t="s">
        <v>4579</v>
      </c>
      <c r="P731" s="1" t="s">
        <v>1270</v>
      </c>
      <c r="Q731" s="1">
        <v>2009</v>
      </c>
      <c r="R731" s="1" t="s">
        <v>4576</v>
      </c>
      <c r="S731" s="1" t="s">
        <v>23</v>
      </c>
      <c r="T731" s="6">
        <v>1</v>
      </c>
      <c r="W731" s="1">
        <v>83</v>
      </c>
      <c r="Z731" s="1">
        <v>79.2</v>
      </c>
      <c r="AA731" s="1">
        <v>6.25</v>
      </c>
      <c r="AC731" s="1">
        <v>17.600000000000001</v>
      </c>
      <c r="AI731" s="1">
        <v>0.5</v>
      </c>
      <c r="AK731" s="1">
        <v>5.1938190000000002E-2</v>
      </c>
      <c r="AL731" s="1">
        <v>6.5267459999999999E-2</v>
      </c>
      <c r="AM731" s="1">
        <v>0.10295712</v>
      </c>
      <c r="AV731" s="1">
        <v>2</v>
      </c>
      <c r="DS731" s="1">
        <v>16450</v>
      </c>
      <c r="EW731" s="1">
        <v>31.2</v>
      </c>
    </row>
    <row r="732" spans="1:153" x14ac:dyDescent="0.2">
      <c r="A732" s="1" t="s">
        <v>4580</v>
      </c>
      <c r="B732" s="1" t="s">
        <v>1912</v>
      </c>
      <c r="C732" s="1" t="s">
        <v>4116</v>
      </c>
      <c r="E732" s="1">
        <v>43</v>
      </c>
      <c r="F732" s="1" t="s">
        <v>4117</v>
      </c>
      <c r="H732" s="1" t="s">
        <v>4581</v>
      </c>
      <c r="I732" s="1" t="s">
        <v>7</v>
      </c>
      <c r="J732" s="1" t="s">
        <v>4119</v>
      </c>
      <c r="K732" s="1" t="s">
        <v>4582</v>
      </c>
      <c r="L732" s="1" t="s">
        <v>4119</v>
      </c>
      <c r="M732" s="1" t="s">
        <v>4574</v>
      </c>
      <c r="N732" s="1" t="s">
        <v>4583</v>
      </c>
      <c r="P732" s="1" t="s">
        <v>1270</v>
      </c>
      <c r="Q732" s="1">
        <v>2009</v>
      </c>
      <c r="R732" s="1" t="s">
        <v>4576</v>
      </c>
      <c r="S732" s="1" t="s">
        <v>23</v>
      </c>
      <c r="T732" s="6">
        <v>1</v>
      </c>
      <c r="W732" s="1">
        <v>82.3</v>
      </c>
      <c r="Z732" s="1">
        <v>79.2</v>
      </c>
      <c r="AA732" s="1">
        <v>6.25</v>
      </c>
      <c r="AC732" s="1">
        <v>17.100000000000001</v>
      </c>
      <c r="AI732" s="1">
        <v>0.7</v>
      </c>
      <c r="AK732" s="1">
        <v>8.5579199999999994E-2</v>
      </c>
      <c r="AL732" s="1">
        <v>0.124803</v>
      </c>
      <c r="AM732" s="1">
        <v>0.166404</v>
      </c>
      <c r="AV732" s="1">
        <v>1.8</v>
      </c>
      <c r="DS732" s="1">
        <v>16930</v>
      </c>
      <c r="EW732" s="1">
        <v>43.2</v>
      </c>
    </row>
    <row r="733" spans="1:153" x14ac:dyDescent="0.2">
      <c r="A733" s="1" t="s">
        <v>4584</v>
      </c>
      <c r="B733" s="1" t="s">
        <v>1912</v>
      </c>
      <c r="C733" s="1" t="s">
        <v>4116</v>
      </c>
      <c r="E733" s="1">
        <v>43</v>
      </c>
      <c r="F733" s="1" t="s">
        <v>4117</v>
      </c>
      <c r="H733" s="1" t="s">
        <v>4585</v>
      </c>
      <c r="I733" s="1" t="s">
        <v>7</v>
      </c>
      <c r="J733" s="1" t="s">
        <v>4119</v>
      </c>
      <c r="K733" s="1" t="s">
        <v>4582</v>
      </c>
      <c r="L733" s="1" t="s">
        <v>4119</v>
      </c>
      <c r="M733" s="1" t="s">
        <v>4574</v>
      </c>
      <c r="N733" s="1" t="s">
        <v>4586</v>
      </c>
      <c r="P733" s="1" t="s">
        <v>1270</v>
      </c>
      <c r="Q733" s="1">
        <v>2009</v>
      </c>
      <c r="R733" s="1" t="s">
        <v>4576</v>
      </c>
      <c r="S733" s="1" t="s">
        <v>23</v>
      </c>
      <c r="T733" s="6">
        <v>1</v>
      </c>
      <c r="W733" s="1">
        <v>78.2</v>
      </c>
      <c r="Z733" s="1">
        <v>80.5</v>
      </c>
      <c r="AA733" s="1">
        <v>6.25</v>
      </c>
      <c r="AC733" s="1">
        <v>15.6</v>
      </c>
      <c r="AI733" s="1">
        <v>0.6</v>
      </c>
      <c r="AK733" s="1">
        <v>6.1322399999999999E-2</v>
      </c>
      <c r="AL733" s="1">
        <v>9.0179999999999996E-2</v>
      </c>
      <c r="AM733" s="1">
        <v>0.13406760000000001</v>
      </c>
      <c r="AV733" s="1">
        <v>1.9</v>
      </c>
      <c r="DS733" s="1">
        <v>17340</v>
      </c>
      <c r="EW733" s="1">
        <v>37.200000000000003</v>
      </c>
    </row>
    <row r="734" spans="1:153" x14ac:dyDescent="0.2">
      <c r="A734" s="1" t="s">
        <v>4587</v>
      </c>
      <c r="B734" s="1" t="s">
        <v>1912</v>
      </c>
      <c r="C734" s="1" t="s">
        <v>2595</v>
      </c>
      <c r="E734" s="1">
        <v>43</v>
      </c>
      <c r="F734" s="1" t="s">
        <v>1913</v>
      </c>
      <c r="H734" s="1" t="s">
        <v>4588</v>
      </c>
      <c r="I734" s="1" t="s">
        <v>7</v>
      </c>
      <c r="J734" s="1" t="s">
        <v>1915</v>
      </c>
      <c r="K734" s="1" t="s">
        <v>4573</v>
      </c>
      <c r="L734" s="1" t="s">
        <v>1915</v>
      </c>
      <c r="M734" s="1" t="s">
        <v>4574</v>
      </c>
      <c r="N734" s="1" t="s">
        <v>4589</v>
      </c>
      <c r="P734" s="1" t="s">
        <v>1270</v>
      </c>
      <c r="Q734" s="1">
        <v>2009</v>
      </c>
      <c r="R734" s="1" t="s">
        <v>4576</v>
      </c>
      <c r="S734" s="1" t="s">
        <v>23</v>
      </c>
      <c r="T734" s="6">
        <v>1</v>
      </c>
      <c r="W734" s="1">
        <v>213.1</v>
      </c>
      <c r="Z734" s="1">
        <v>67.400000000000006</v>
      </c>
      <c r="AA734" s="1">
        <v>6.25</v>
      </c>
      <c r="AC734" s="1">
        <v>12.6</v>
      </c>
      <c r="AI734" s="1">
        <v>16.600000000000001</v>
      </c>
      <c r="AK734" s="1">
        <v>4.1486955999999999</v>
      </c>
      <c r="AL734" s="1">
        <v>7.3615952</v>
      </c>
      <c r="AM734" s="1">
        <v>3.1349165999999999</v>
      </c>
      <c r="AV734" s="1">
        <v>1.7</v>
      </c>
      <c r="DS734" s="1">
        <v>10990</v>
      </c>
      <c r="EW734" s="1">
        <v>42.5</v>
      </c>
    </row>
    <row r="735" spans="1:153" x14ac:dyDescent="0.2">
      <c r="A735" s="1" t="s">
        <v>4590</v>
      </c>
      <c r="B735" s="1" t="s">
        <v>1912</v>
      </c>
      <c r="C735" s="1" t="s">
        <v>2595</v>
      </c>
      <c r="E735" s="1">
        <v>43</v>
      </c>
      <c r="F735" s="1" t="s">
        <v>1913</v>
      </c>
      <c r="H735" s="1" t="s">
        <v>4591</v>
      </c>
      <c r="I735" s="1" t="s">
        <v>7</v>
      </c>
      <c r="J735" s="1" t="s">
        <v>1915</v>
      </c>
      <c r="K735" s="1" t="s">
        <v>4573</v>
      </c>
      <c r="L735" s="1" t="s">
        <v>1915</v>
      </c>
      <c r="M735" s="1" t="s">
        <v>4574</v>
      </c>
      <c r="N735" s="1" t="s">
        <v>4579</v>
      </c>
      <c r="P735" s="1" t="s">
        <v>1270</v>
      </c>
      <c r="Q735" s="1">
        <v>2009</v>
      </c>
      <c r="R735" s="1" t="s">
        <v>4576</v>
      </c>
      <c r="S735" s="1" t="s">
        <v>23</v>
      </c>
      <c r="T735" s="6">
        <v>1</v>
      </c>
      <c r="W735" s="1">
        <v>172.8</v>
      </c>
      <c r="Z735" s="1">
        <v>70.7</v>
      </c>
      <c r="AA735" s="1">
        <v>6.25</v>
      </c>
      <c r="AC735" s="1">
        <v>13.2</v>
      </c>
      <c r="AI735" s="1">
        <v>11.8</v>
      </c>
      <c r="AK735" s="1">
        <v>3.5335038000000001</v>
      </c>
      <c r="AL735" s="1">
        <v>6.0652977999999997</v>
      </c>
      <c r="AM735" s="1">
        <v>0.77054599999999995</v>
      </c>
      <c r="AV735" s="1">
        <v>1.8</v>
      </c>
      <c r="DS735" s="1">
        <v>9460</v>
      </c>
      <c r="EW735" s="1">
        <v>76</v>
      </c>
    </row>
    <row r="736" spans="1:153" x14ac:dyDescent="0.2">
      <c r="A736" s="1" t="s">
        <v>4592</v>
      </c>
      <c r="B736" s="1" t="s">
        <v>1912</v>
      </c>
      <c r="C736" s="1" t="s">
        <v>4116</v>
      </c>
      <c r="E736" s="1">
        <v>43</v>
      </c>
      <c r="F736" s="1" t="s">
        <v>4117</v>
      </c>
      <c r="H736" s="1" t="s">
        <v>4593</v>
      </c>
      <c r="I736" s="1" t="s">
        <v>7</v>
      </c>
      <c r="J736" s="1" t="s">
        <v>4119</v>
      </c>
      <c r="K736" s="1" t="s">
        <v>4582</v>
      </c>
      <c r="L736" s="1" t="s">
        <v>4119</v>
      </c>
      <c r="M736" s="1" t="s">
        <v>4574</v>
      </c>
      <c r="N736" s="1" t="s">
        <v>4583</v>
      </c>
      <c r="P736" s="1" t="s">
        <v>1270</v>
      </c>
      <c r="Q736" s="1">
        <v>2009</v>
      </c>
      <c r="R736" s="1" t="s">
        <v>4576</v>
      </c>
      <c r="S736" s="1" t="s">
        <v>23</v>
      </c>
      <c r="T736" s="6">
        <v>1</v>
      </c>
      <c r="W736" s="1">
        <v>290.39999999999998</v>
      </c>
      <c r="Z736" s="1">
        <v>58.8</v>
      </c>
      <c r="AA736" s="1">
        <v>6.25</v>
      </c>
      <c r="AC736" s="1">
        <v>12.3</v>
      </c>
      <c r="AI736" s="1">
        <v>25.5</v>
      </c>
      <c r="AK736" s="1">
        <v>5.8816199999999998</v>
      </c>
      <c r="AL736" s="1">
        <v>14.197844999999999</v>
      </c>
      <c r="AM736" s="1">
        <v>2.6997599999999999</v>
      </c>
      <c r="AV736" s="1">
        <v>1.5</v>
      </c>
      <c r="DS736" s="1">
        <v>10460</v>
      </c>
      <c r="EW736" s="1">
        <v>80.099999999999994</v>
      </c>
    </row>
    <row r="737" spans="1:153" x14ac:dyDescent="0.2">
      <c r="A737" s="1" t="s">
        <v>4594</v>
      </c>
      <c r="B737" s="1" t="s">
        <v>1912</v>
      </c>
      <c r="C737" s="1" t="s">
        <v>4116</v>
      </c>
      <c r="E737" s="1">
        <v>43</v>
      </c>
      <c r="F737" s="1" t="s">
        <v>4117</v>
      </c>
      <c r="H737" s="1" t="s">
        <v>4595</v>
      </c>
      <c r="I737" s="1" t="s">
        <v>7</v>
      </c>
      <c r="J737" s="1" t="s">
        <v>4119</v>
      </c>
      <c r="K737" s="1" t="s">
        <v>4582</v>
      </c>
      <c r="L737" s="1" t="s">
        <v>4119</v>
      </c>
      <c r="M737" s="1" t="s">
        <v>4574</v>
      </c>
      <c r="N737" s="1" t="s">
        <v>4586</v>
      </c>
      <c r="P737" s="1" t="s">
        <v>1270</v>
      </c>
      <c r="Q737" s="1">
        <v>2009</v>
      </c>
      <c r="R737" s="1" t="s">
        <v>4576</v>
      </c>
      <c r="S737" s="1" t="s">
        <v>23</v>
      </c>
      <c r="T737" s="6">
        <v>1</v>
      </c>
      <c r="W737" s="1">
        <v>194.9</v>
      </c>
      <c r="Z737" s="1">
        <v>68.900000000000006</v>
      </c>
      <c r="AA737" s="1">
        <v>6.25</v>
      </c>
      <c r="AC737" s="1">
        <v>12.4</v>
      </c>
      <c r="AI737" s="1">
        <v>14.9</v>
      </c>
      <c r="AK737" s="1">
        <v>3.7862494</v>
      </c>
      <c r="AL737" s="1">
        <v>8.6063823999999993</v>
      </c>
      <c r="AM737" s="1">
        <v>0.81034119999999998</v>
      </c>
      <c r="AV737" s="1">
        <v>1.7</v>
      </c>
      <c r="DS737" s="1">
        <v>9690</v>
      </c>
      <c r="EW737" s="1">
        <v>103.5</v>
      </c>
    </row>
    <row r="738" spans="1:153" x14ac:dyDescent="0.2">
      <c r="A738" s="1" t="s">
        <v>4596</v>
      </c>
      <c r="B738" s="1" t="s">
        <v>1912</v>
      </c>
      <c r="C738" s="1" t="s">
        <v>4116</v>
      </c>
      <c r="E738" s="1">
        <v>43</v>
      </c>
      <c r="F738" s="1" t="s">
        <v>4117</v>
      </c>
      <c r="H738" s="1" t="s">
        <v>4597</v>
      </c>
      <c r="I738" s="1" t="s">
        <v>7</v>
      </c>
      <c r="J738" s="1" t="s">
        <v>4119</v>
      </c>
      <c r="K738" s="1" t="s">
        <v>4582</v>
      </c>
      <c r="L738" s="1" t="s">
        <v>4119</v>
      </c>
      <c r="M738" s="1" t="s">
        <v>4574</v>
      </c>
      <c r="N738" s="1" t="s">
        <v>4583</v>
      </c>
      <c r="P738" s="1" t="s">
        <v>1270</v>
      </c>
      <c r="Q738" s="1">
        <v>2009</v>
      </c>
      <c r="R738" s="1" t="s">
        <v>4576</v>
      </c>
      <c r="S738" s="1" t="s">
        <v>23</v>
      </c>
      <c r="T738" s="6">
        <v>1</v>
      </c>
      <c r="W738" s="1">
        <v>148.30000000000001</v>
      </c>
      <c r="Z738" s="1" t="s">
        <v>4598</v>
      </c>
      <c r="AA738" s="1">
        <v>6.25</v>
      </c>
      <c r="AC738" s="1" t="s">
        <v>4599</v>
      </c>
      <c r="AI738" s="1" t="s">
        <v>4600</v>
      </c>
      <c r="AK738" s="1">
        <v>0.66081120000000004</v>
      </c>
      <c r="AL738" s="1">
        <v>1.4160239999999999</v>
      </c>
      <c r="AM738" s="1">
        <v>1.6126940000000001</v>
      </c>
      <c r="AV738" s="1" t="s">
        <v>4601</v>
      </c>
      <c r="DS738" s="1">
        <v>17930</v>
      </c>
      <c r="EW738" s="1">
        <v>105.4</v>
      </c>
    </row>
    <row r="739" spans="1:153" x14ac:dyDescent="0.2">
      <c r="A739" s="1" t="s">
        <v>4602</v>
      </c>
      <c r="B739" s="1" t="s">
        <v>1912</v>
      </c>
      <c r="C739" s="1" t="s">
        <v>4603</v>
      </c>
      <c r="D739" s="1" t="s">
        <v>2</v>
      </c>
      <c r="E739" s="1">
        <v>43</v>
      </c>
      <c r="F739" s="1" t="s">
        <v>1913</v>
      </c>
      <c r="H739" s="1" t="s">
        <v>4604</v>
      </c>
      <c r="I739" s="1" t="s">
        <v>11</v>
      </c>
      <c r="J739" s="1" t="s">
        <v>1915</v>
      </c>
      <c r="K739" s="1" t="s">
        <v>4573</v>
      </c>
      <c r="L739" s="1" t="s">
        <v>1915</v>
      </c>
      <c r="M739" s="1" t="s">
        <v>4605</v>
      </c>
      <c r="P739" s="1" t="s">
        <v>4606</v>
      </c>
      <c r="Q739" s="1">
        <v>1982</v>
      </c>
      <c r="R739" s="1" t="s">
        <v>4607</v>
      </c>
      <c r="S739" s="1" t="s">
        <v>23</v>
      </c>
      <c r="T739" s="6">
        <v>1</v>
      </c>
      <c r="U739" s="1">
        <v>0.378</v>
      </c>
      <c r="Z739" s="1">
        <v>75.84</v>
      </c>
      <c r="AA739" s="1">
        <v>6.25</v>
      </c>
      <c r="AB739" s="1">
        <v>3.43</v>
      </c>
      <c r="AD739" s="1">
        <v>16.079999999999998</v>
      </c>
      <c r="AG739" s="1">
        <v>860</v>
      </c>
      <c r="AH739" s="1">
        <v>1.1599999999999999</v>
      </c>
      <c r="AS739" s="1">
        <v>0.97</v>
      </c>
      <c r="AV739" s="1">
        <v>1.9</v>
      </c>
    </row>
    <row r="740" spans="1:153" x14ac:dyDescent="0.2">
      <c r="A740" s="1" t="s">
        <v>4608</v>
      </c>
      <c r="B740" s="1" t="s">
        <v>1912</v>
      </c>
      <c r="C740" s="1" t="s">
        <v>4603</v>
      </c>
      <c r="D740" s="1" t="s">
        <v>2</v>
      </c>
      <c r="E740" s="1">
        <v>43</v>
      </c>
      <c r="F740" s="1" t="s">
        <v>1913</v>
      </c>
      <c r="H740" s="1" t="s">
        <v>4609</v>
      </c>
      <c r="I740" s="1" t="s">
        <v>11</v>
      </c>
      <c r="J740" s="1" t="s">
        <v>1915</v>
      </c>
      <c r="K740" s="1" t="s">
        <v>4573</v>
      </c>
      <c r="L740" s="1" t="s">
        <v>1915</v>
      </c>
      <c r="M740" s="1" t="s">
        <v>4610</v>
      </c>
      <c r="P740" s="1" t="s">
        <v>4606</v>
      </c>
      <c r="Q740" s="1">
        <v>1982</v>
      </c>
      <c r="R740" s="1" t="s">
        <v>4607</v>
      </c>
      <c r="S740" s="1" t="s">
        <v>23</v>
      </c>
      <c r="T740" s="6">
        <v>1</v>
      </c>
      <c r="U740" s="1">
        <v>0.378</v>
      </c>
      <c r="Z740" s="1">
        <v>74.72</v>
      </c>
      <c r="AA740" s="1">
        <v>6.25</v>
      </c>
      <c r="AB740" s="1">
        <v>3.81</v>
      </c>
      <c r="AD740" s="1">
        <v>16.79</v>
      </c>
      <c r="AG740" s="1">
        <v>1120</v>
      </c>
      <c r="AH740" s="1">
        <v>1.28</v>
      </c>
      <c r="AS740" s="1">
        <v>0.45</v>
      </c>
      <c r="AV740" s="1">
        <v>1.82</v>
      </c>
    </row>
    <row r="741" spans="1:153" x14ac:dyDescent="0.2">
      <c r="A741" s="1" t="s">
        <v>4611</v>
      </c>
      <c r="B741" s="1" t="s">
        <v>1912</v>
      </c>
      <c r="C741" s="1" t="s">
        <v>4603</v>
      </c>
      <c r="D741" s="1" t="s">
        <v>2</v>
      </c>
      <c r="E741" s="1">
        <v>43</v>
      </c>
      <c r="F741" s="1" t="s">
        <v>1913</v>
      </c>
      <c r="H741" s="1" t="s">
        <v>4612</v>
      </c>
      <c r="I741" s="1" t="s">
        <v>11</v>
      </c>
      <c r="J741" s="1" t="s">
        <v>1915</v>
      </c>
      <c r="K741" s="1" t="s">
        <v>4573</v>
      </c>
      <c r="L741" s="1" t="s">
        <v>1915</v>
      </c>
      <c r="M741" s="1" t="s">
        <v>4613</v>
      </c>
      <c r="P741" s="1" t="s">
        <v>4606</v>
      </c>
      <c r="Q741" s="1">
        <v>1982</v>
      </c>
      <c r="R741" s="1" t="s">
        <v>4607</v>
      </c>
      <c r="S741" s="1" t="s">
        <v>23</v>
      </c>
      <c r="T741" s="6">
        <v>1</v>
      </c>
      <c r="U741" s="1">
        <v>0.378</v>
      </c>
      <c r="Z741" s="1">
        <v>67.48</v>
      </c>
      <c r="AA741" s="1">
        <v>6.25</v>
      </c>
      <c r="AV741" s="1">
        <v>1.73</v>
      </c>
    </row>
    <row r="742" spans="1:153" x14ac:dyDescent="0.2">
      <c r="A742" s="1" t="s">
        <v>4614</v>
      </c>
      <c r="B742" s="1" t="s">
        <v>57</v>
      </c>
      <c r="C742" s="1" t="s">
        <v>4615</v>
      </c>
      <c r="E742" s="1">
        <v>56</v>
      </c>
      <c r="F742" s="1" t="s">
        <v>4616</v>
      </c>
      <c r="H742" s="1" t="s">
        <v>4617</v>
      </c>
      <c r="I742" s="1" t="s">
        <v>7</v>
      </c>
      <c r="J742" s="1" t="s">
        <v>4618</v>
      </c>
      <c r="K742" s="1" t="s">
        <v>4619</v>
      </c>
      <c r="L742" s="1" t="s">
        <v>4618</v>
      </c>
      <c r="M742" s="1" t="s">
        <v>4620</v>
      </c>
      <c r="P742" s="1" t="s">
        <v>4621</v>
      </c>
      <c r="Q742" s="1">
        <v>2009</v>
      </c>
      <c r="R742" s="1" t="s">
        <v>4622</v>
      </c>
      <c r="S742" s="1" t="s">
        <v>23</v>
      </c>
      <c r="T742" s="6">
        <v>1</v>
      </c>
      <c r="U742" s="1">
        <v>0.27889999999999998</v>
      </c>
      <c r="W742" s="1">
        <v>63.05</v>
      </c>
      <c r="Z742" s="1">
        <v>85.35</v>
      </c>
      <c r="AE742" s="1">
        <v>7.36</v>
      </c>
      <c r="AH742" s="1">
        <v>0.57999999999999996</v>
      </c>
      <c r="AR742" s="1">
        <v>4.09</v>
      </c>
      <c r="AV742" s="1">
        <v>2.62</v>
      </c>
      <c r="AY742" s="1">
        <v>186.9819</v>
      </c>
      <c r="BG742" s="1">
        <v>4375.8</v>
      </c>
      <c r="BH742" s="1">
        <v>211.8887</v>
      </c>
      <c r="BJ742" s="1">
        <v>68.044129999999996</v>
      </c>
      <c r="BM742" s="1">
        <v>410.30669999999998</v>
      </c>
      <c r="BS742" s="1">
        <v>297.10000000000002</v>
      </c>
    </row>
    <row r="743" spans="1:153" x14ac:dyDescent="0.2">
      <c r="A743" s="1" t="s">
        <v>4623</v>
      </c>
      <c r="B743" s="1" t="s">
        <v>57</v>
      </c>
      <c r="C743" s="1" t="s">
        <v>4615</v>
      </c>
      <c r="E743" s="1">
        <v>56</v>
      </c>
      <c r="F743" s="1" t="s">
        <v>4616</v>
      </c>
      <c r="H743" s="1" t="s">
        <v>4617</v>
      </c>
      <c r="I743" s="1" t="s">
        <v>7</v>
      </c>
      <c r="J743" s="1" t="s">
        <v>4618</v>
      </c>
      <c r="K743" s="1" t="s">
        <v>4619</v>
      </c>
      <c r="L743" s="1" t="s">
        <v>4618</v>
      </c>
      <c r="M743" s="1" t="s">
        <v>4624</v>
      </c>
      <c r="P743" s="1" t="s">
        <v>4621</v>
      </c>
      <c r="Q743" s="1">
        <v>2009</v>
      </c>
      <c r="R743" s="1" t="s">
        <v>4622</v>
      </c>
      <c r="S743" s="1" t="s">
        <v>23</v>
      </c>
      <c r="T743" s="6">
        <v>1</v>
      </c>
      <c r="U743" s="1">
        <v>0.28889999999999999</v>
      </c>
      <c r="W743" s="1">
        <v>78.459999999999994</v>
      </c>
      <c r="Z743" s="1">
        <v>82.7</v>
      </c>
      <c r="AE743" s="1">
        <v>8.99</v>
      </c>
      <c r="AH743" s="1">
        <v>1.2</v>
      </c>
      <c r="AR743" s="1">
        <v>4.17</v>
      </c>
      <c r="AV743" s="1">
        <v>2.95</v>
      </c>
      <c r="AY743" s="1">
        <v>304.28640000000001</v>
      </c>
      <c r="BG743" s="1">
        <v>3184.1</v>
      </c>
      <c r="BH743" s="1">
        <v>268.98509999999999</v>
      </c>
      <c r="BJ743" s="1">
        <v>61.7027</v>
      </c>
      <c r="BM743" s="1">
        <v>335.64760000000001</v>
      </c>
      <c r="BS743" s="1">
        <v>254.9</v>
      </c>
    </row>
    <row r="744" spans="1:153" x14ac:dyDescent="0.2">
      <c r="A744" s="1" t="s">
        <v>4625</v>
      </c>
      <c r="B744" s="1" t="s">
        <v>57</v>
      </c>
      <c r="C744" s="1" t="s">
        <v>4615</v>
      </c>
      <c r="E744" s="1">
        <v>56</v>
      </c>
      <c r="F744" s="1" t="s">
        <v>4616</v>
      </c>
      <c r="H744" s="1" t="s">
        <v>4617</v>
      </c>
      <c r="I744" s="1" t="s">
        <v>7</v>
      </c>
      <c r="J744" s="1" t="s">
        <v>4618</v>
      </c>
      <c r="K744" s="1" t="s">
        <v>4619</v>
      </c>
      <c r="L744" s="1" t="s">
        <v>4618</v>
      </c>
      <c r="M744" s="1" t="s">
        <v>4626</v>
      </c>
      <c r="P744" s="1" t="s">
        <v>4621</v>
      </c>
      <c r="Q744" s="1">
        <v>2009</v>
      </c>
      <c r="R744" s="1" t="s">
        <v>4622</v>
      </c>
      <c r="S744" s="1" t="s">
        <v>23</v>
      </c>
      <c r="T744" s="6">
        <v>1</v>
      </c>
      <c r="U744" s="1">
        <v>0.22670000000000001</v>
      </c>
      <c r="W744" s="1">
        <v>66.67</v>
      </c>
      <c r="Z744" s="1">
        <v>84.87</v>
      </c>
      <c r="AE744" s="1">
        <v>7.45</v>
      </c>
      <c r="AH744" s="1">
        <v>0.74</v>
      </c>
      <c r="AR744" s="1">
        <v>4.5</v>
      </c>
      <c r="AV744" s="1">
        <v>2.44</v>
      </c>
      <c r="AY744" s="1">
        <v>211.12620000000001</v>
      </c>
      <c r="BG744" s="1">
        <v>1555.2</v>
      </c>
      <c r="BH744" s="1">
        <v>189.04599999999999</v>
      </c>
      <c r="BJ744" s="1">
        <v>77.6678</v>
      </c>
      <c r="BM744" s="1">
        <v>454.55489999999998</v>
      </c>
      <c r="BS744" s="1">
        <v>113.8</v>
      </c>
    </row>
    <row r="745" spans="1:153" x14ac:dyDescent="0.2">
      <c r="A745" s="1" t="s">
        <v>4627</v>
      </c>
      <c r="B745" s="1" t="s">
        <v>57</v>
      </c>
      <c r="C745" s="1" t="s">
        <v>4615</v>
      </c>
      <c r="E745" s="1">
        <v>56</v>
      </c>
      <c r="F745" s="1" t="s">
        <v>4616</v>
      </c>
      <c r="H745" s="1" t="s">
        <v>4617</v>
      </c>
      <c r="I745" s="1" t="s">
        <v>7</v>
      </c>
      <c r="J745" s="1" t="s">
        <v>4618</v>
      </c>
      <c r="K745" s="1" t="s">
        <v>4619</v>
      </c>
      <c r="L745" s="1" t="s">
        <v>4618</v>
      </c>
      <c r="M745" s="1" t="s">
        <v>4628</v>
      </c>
      <c r="P745" s="1" t="s">
        <v>4621</v>
      </c>
      <c r="Q745" s="1">
        <v>2009</v>
      </c>
      <c r="R745" s="1" t="s">
        <v>4622</v>
      </c>
      <c r="S745" s="1" t="s">
        <v>23</v>
      </c>
      <c r="T745" s="6">
        <v>1</v>
      </c>
      <c r="U745" s="1">
        <v>0.1996</v>
      </c>
      <c r="W745" s="1">
        <v>58.03</v>
      </c>
      <c r="Z745" s="1">
        <v>86.57</v>
      </c>
      <c r="AE745" s="1">
        <v>6.86</v>
      </c>
      <c r="AH745" s="1">
        <v>0.92</v>
      </c>
      <c r="AR745" s="1">
        <v>2.7</v>
      </c>
      <c r="AV745" s="1">
        <v>2.95</v>
      </c>
      <c r="AY745" s="1">
        <v>209.43680000000001</v>
      </c>
      <c r="BG745" s="1">
        <v>5911.5</v>
      </c>
      <c r="BH745" s="1">
        <v>142.62870000000001</v>
      </c>
      <c r="BJ745" s="1">
        <v>79.734999999999999</v>
      </c>
      <c r="BM745" s="1">
        <v>438.76960000000003</v>
      </c>
      <c r="BS745" s="1">
        <v>142.5</v>
      </c>
    </row>
    <row r="746" spans="1:153" x14ac:dyDescent="0.2">
      <c r="A746" s="1" t="s">
        <v>4629</v>
      </c>
      <c r="B746" s="1" t="s">
        <v>57</v>
      </c>
      <c r="C746" s="1" t="s">
        <v>4615</v>
      </c>
      <c r="E746" s="1">
        <v>56</v>
      </c>
      <c r="F746" s="1" t="s">
        <v>4630</v>
      </c>
      <c r="H746" s="1" t="s">
        <v>4631</v>
      </c>
      <c r="I746" s="1" t="s">
        <v>7</v>
      </c>
      <c r="J746" s="1" t="s">
        <v>4632</v>
      </c>
      <c r="K746" s="1" t="s">
        <v>4633</v>
      </c>
      <c r="L746" s="1" t="s">
        <v>4632</v>
      </c>
      <c r="M746" s="1" t="s">
        <v>4620</v>
      </c>
      <c r="P746" s="1" t="s">
        <v>4621</v>
      </c>
      <c r="Q746" s="1">
        <v>2009</v>
      </c>
      <c r="R746" s="1" t="s">
        <v>4622</v>
      </c>
      <c r="S746" s="1" t="s">
        <v>23</v>
      </c>
      <c r="T746" s="6">
        <v>1</v>
      </c>
      <c r="U746" s="1">
        <v>0.23330000000000001</v>
      </c>
      <c r="W746" s="1">
        <v>66.42</v>
      </c>
      <c r="Z746" s="1">
        <v>83.34</v>
      </c>
      <c r="AE746" s="1">
        <v>8.4</v>
      </c>
      <c r="AH746" s="1">
        <v>0.69</v>
      </c>
      <c r="AR746" s="1">
        <v>3.18</v>
      </c>
      <c r="AV746" s="1">
        <v>4.0599999999999996</v>
      </c>
      <c r="AY746" s="1">
        <v>381.02539999999999</v>
      </c>
      <c r="BG746" s="1">
        <v>2188.5</v>
      </c>
      <c r="BH746" s="1">
        <v>255.9854</v>
      </c>
      <c r="BJ746" s="1">
        <v>88.066199999999995</v>
      </c>
      <c r="BM746" s="1">
        <v>417.37090000000001</v>
      </c>
      <c r="BS746" s="1">
        <v>413.7</v>
      </c>
    </row>
    <row r="747" spans="1:153" x14ac:dyDescent="0.2">
      <c r="A747" s="1" t="s">
        <v>4634</v>
      </c>
      <c r="B747" s="1" t="s">
        <v>57</v>
      </c>
      <c r="C747" s="1" t="s">
        <v>4615</v>
      </c>
      <c r="E747" s="1">
        <v>56</v>
      </c>
      <c r="F747" s="1" t="s">
        <v>4630</v>
      </c>
      <c r="H747" s="1" t="s">
        <v>4631</v>
      </c>
      <c r="I747" s="1" t="s">
        <v>7</v>
      </c>
      <c r="J747" s="1" t="s">
        <v>4632</v>
      </c>
      <c r="K747" s="1" t="s">
        <v>4633</v>
      </c>
      <c r="L747" s="1" t="s">
        <v>4632</v>
      </c>
      <c r="M747" s="1" t="s">
        <v>4624</v>
      </c>
      <c r="P747" s="1" t="s">
        <v>4621</v>
      </c>
      <c r="Q747" s="1">
        <v>2009</v>
      </c>
      <c r="R747" s="1" t="s">
        <v>4622</v>
      </c>
      <c r="S747" s="1" t="s">
        <v>23</v>
      </c>
      <c r="T747" s="6">
        <v>1</v>
      </c>
      <c r="U747" s="1">
        <v>0.31030000000000002</v>
      </c>
      <c r="W747" s="1">
        <v>84.36</v>
      </c>
      <c r="Z747" s="1">
        <v>81.09</v>
      </c>
      <c r="AE747" s="1">
        <v>10.61</v>
      </c>
      <c r="AH747" s="1">
        <v>1.33</v>
      </c>
      <c r="AR747" s="1">
        <v>3.02</v>
      </c>
      <c r="AV747" s="1">
        <v>4.05</v>
      </c>
      <c r="AY747" s="1">
        <v>254.2106</v>
      </c>
      <c r="BG747" s="1">
        <v>2019.6</v>
      </c>
      <c r="BH747" s="1">
        <v>306.28640000000001</v>
      </c>
      <c r="BJ747" s="1">
        <v>73.103499999999997</v>
      </c>
      <c r="BM747" s="1">
        <v>339.50409999999999</v>
      </c>
      <c r="BS747" s="1">
        <v>299.5</v>
      </c>
    </row>
    <row r="748" spans="1:153" x14ac:dyDescent="0.2">
      <c r="A748" s="1" t="s">
        <v>4635</v>
      </c>
      <c r="B748" s="1" t="s">
        <v>57</v>
      </c>
      <c r="C748" s="1" t="s">
        <v>4615</v>
      </c>
      <c r="E748" s="1">
        <v>56</v>
      </c>
      <c r="F748" s="1" t="s">
        <v>4630</v>
      </c>
      <c r="H748" s="1" t="s">
        <v>4631</v>
      </c>
      <c r="I748" s="1" t="s">
        <v>7</v>
      </c>
      <c r="J748" s="1" t="s">
        <v>4632</v>
      </c>
      <c r="K748" s="1" t="s">
        <v>4633</v>
      </c>
      <c r="L748" s="1" t="s">
        <v>4632</v>
      </c>
      <c r="M748" s="1" t="s">
        <v>4626</v>
      </c>
      <c r="P748" s="1" t="s">
        <v>4621</v>
      </c>
      <c r="Q748" s="1">
        <v>2009</v>
      </c>
      <c r="R748" s="1" t="s">
        <v>4622</v>
      </c>
      <c r="S748" s="1" t="s">
        <v>23</v>
      </c>
      <c r="T748" s="6">
        <v>1</v>
      </c>
      <c r="U748" s="1">
        <v>0.23949999999999999</v>
      </c>
      <c r="W748" s="1">
        <v>62.51</v>
      </c>
      <c r="Z748" s="1">
        <v>84.67</v>
      </c>
      <c r="AE748" s="1">
        <v>8.2100000000000009</v>
      </c>
      <c r="AH748" s="1">
        <v>0.7</v>
      </c>
      <c r="AR748" s="1">
        <v>2.4300000000000002</v>
      </c>
      <c r="AV748" s="1">
        <v>3.82</v>
      </c>
      <c r="AY748" s="1">
        <v>270.14179999999999</v>
      </c>
      <c r="BG748" s="1">
        <v>1725.8</v>
      </c>
      <c r="BH748" s="1">
        <v>206.0181</v>
      </c>
      <c r="BJ748" s="1">
        <v>89.064099999999996</v>
      </c>
      <c r="BM748" s="1">
        <v>462.32040000000001</v>
      </c>
      <c r="BS748" s="1">
        <v>111.6</v>
      </c>
    </row>
    <row r="749" spans="1:153" x14ac:dyDescent="0.2">
      <c r="A749" s="1" t="s">
        <v>4636</v>
      </c>
      <c r="B749" s="1" t="s">
        <v>57</v>
      </c>
      <c r="C749" s="1" t="s">
        <v>4615</v>
      </c>
      <c r="E749" s="1">
        <v>56</v>
      </c>
      <c r="F749" s="1" t="s">
        <v>4630</v>
      </c>
      <c r="H749" s="1" t="s">
        <v>4631</v>
      </c>
      <c r="I749" s="1" t="s">
        <v>7</v>
      </c>
      <c r="J749" s="1" t="s">
        <v>4632</v>
      </c>
      <c r="K749" s="1" t="s">
        <v>4633</v>
      </c>
      <c r="L749" s="1" t="s">
        <v>4632</v>
      </c>
      <c r="M749" s="1" t="s">
        <v>4628</v>
      </c>
      <c r="P749" s="1" t="s">
        <v>4621</v>
      </c>
      <c r="Q749" s="1">
        <v>2009</v>
      </c>
      <c r="R749" s="1" t="s">
        <v>4622</v>
      </c>
      <c r="S749" s="1" t="s">
        <v>23</v>
      </c>
      <c r="T749" s="6">
        <v>1</v>
      </c>
      <c r="U749" s="1">
        <v>0.24379999999999999</v>
      </c>
      <c r="W749" s="1">
        <v>63.15</v>
      </c>
      <c r="Z749" s="1">
        <v>85.55</v>
      </c>
      <c r="AE749" s="1">
        <v>8.1199999999999992</v>
      </c>
      <c r="AH749" s="1">
        <v>0.87</v>
      </c>
      <c r="AR749" s="1">
        <v>2.31</v>
      </c>
      <c r="AV749" s="1">
        <v>3.19</v>
      </c>
      <c r="AY749" s="1">
        <v>448.93259999999998</v>
      </c>
      <c r="BG749" s="1">
        <v>2980.1</v>
      </c>
      <c r="BH749" s="1">
        <v>156.9905</v>
      </c>
      <c r="BJ749" s="1">
        <v>87.219700000000003</v>
      </c>
      <c r="BM749" s="1">
        <v>450.58080000000001</v>
      </c>
      <c r="BS749" s="1">
        <v>177.9</v>
      </c>
    </row>
    <row r="750" spans="1:153" x14ac:dyDescent="0.2">
      <c r="A750" s="1" t="s">
        <v>4637</v>
      </c>
      <c r="B750" s="1" t="s">
        <v>57</v>
      </c>
      <c r="C750" s="1" t="s">
        <v>236</v>
      </c>
      <c r="E750" s="1">
        <v>57</v>
      </c>
      <c r="F750" s="1" t="s">
        <v>4638</v>
      </c>
      <c r="H750" s="1" t="s">
        <v>4639</v>
      </c>
      <c r="I750" s="1" t="s">
        <v>7</v>
      </c>
      <c r="J750" s="1" t="s">
        <v>4640</v>
      </c>
      <c r="K750" s="1" t="s">
        <v>4641</v>
      </c>
      <c r="L750" s="1" t="s">
        <v>4640</v>
      </c>
      <c r="N750" s="1" t="s">
        <v>4642</v>
      </c>
      <c r="P750" s="1" t="s">
        <v>4643</v>
      </c>
      <c r="Q750" s="1">
        <v>2007</v>
      </c>
      <c r="R750" s="1" t="s">
        <v>4644</v>
      </c>
      <c r="S750" s="1" t="s">
        <v>23</v>
      </c>
      <c r="T750" s="6">
        <v>1</v>
      </c>
      <c r="Z750" s="1">
        <v>75.599999999999994</v>
      </c>
      <c r="AA750" s="1">
        <v>6.25</v>
      </c>
      <c r="AC750" s="1">
        <v>20.056799999999999</v>
      </c>
      <c r="AI750" s="1">
        <v>0.56120000000000003</v>
      </c>
      <c r="AQ750" s="1">
        <v>2.0739999999999998</v>
      </c>
      <c r="AV750" s="1">
        <v>1.708</v>
      </c>
    </row>
    <row r="751" spans="1:153" x14ac:dyDescent="0.2">
      <c r="A751" s="1" t="s">
        <v>4645</v>
      </c>
      <c r="B751" s="1" t="s">
        <v>57</v>
      </c>
      <c r="C751" s="1" t="s">
        <v>236</v>
      </c>
      <c r="E751" s="1">
        <v>57</v>
      </c>
      <c r="F751" s="1" t="s">
        <v>4638</v>
      </c>
      <c r="H751" s="1" t="s">
        <v>4646</v>
      </c>
      <c r="I751" s="1" t="s">
        <v>11</v>
      </c>
      <c r="J751" s="1" t="s">
        <v>4640</v>
      </c>
      <c r="K751" s="1" t="s">
        <v>4641</v>
      </c>
      <c r="L751" s="1" t="s">
        <v>4640</v>
      </c>
      <c r="N751" s="1" t="s">
        <v>4647</v>
      </c>
      <c r="P751" s="1" t="s">
        <v>4643</v>
      </c>
      <c r="Q751" s="1">
        <v>2007</v>
      </c>
      <c r="R751" s="1" t="s">
        <v>4644</v>
      </c>
      <c r="S751" s="1" t="s">
        <v>23</v>
      </c>
      <c r="T751" s="6">
        <v>1</v>
      </c>
      <c r="Z751" s="1">
        <v>73.2</v>
      </c>
      <c r="AA751" s="1">
        <v>6.25</v>
      </c>
      <c r="AC751" s="1">
        <v>21.788399999999999</v>
      </c>
      <c r="AI751" s="1">
        <v>0.85760000000000003</v>
      </c>
      <c r="AQ751" s="1">
        <v>2.7871999999999999</v>
      </c>
      <c r="AV751" s="1">
        <v>1.3668</v>
      </c>
    </row>
    <row r="752" spans="1:153" x14ac:dyDescent="0.2">
      <c r="A752" s="1" t="s">
        <v>4648</v>
      </c>
      <c r="B752" s="1" t="s">
        <v>57</v>
      </c>
      <c r="C752" s="1" t="s">
        <v>236</v>
      </c>
      <c r="E752" s="1">
        <v>57</v>
      </c>
      <c r="F752" s="1" t="s">
        <v>4649</v>
      </c>
      <c r="H752" s="1" t="s">
        <v>4650</v>
      </c>
      <c r="I752" s="1" t="s">
        <v>7</v>
      </c>
      <c r="J752" s="1" t="s">
        <v>4651</v>
      </c>
      <c r="K752" s="1" t="s">
        <v>4652</v>
      </c>
      <c r="L752" s="1" t="s">
        <v>4651</v>
      </c>
      <c r="P752" s="1" t="s">
        <v>4643</v>
      </c>
      <c r="Q752" s="1">
        <v>2007</v>
      </c>
      <c r="R752" s="1" t="s">
        <v>4644</v>
      </c>
      <c r="S752" s="1" t="s">
        <v>23</v>
      </c>
      <c r="T752" s="6">
        <v>1</v>
      </c>
      <c r="Z752" s="1">
        <v>86</v>
      </c>
      <c r="AC752" s="1">
        <v>12.278</v>
      </c>
      <c r="AI752" s="1">
        <v>0.33600000000000002</v>
      </c>
      <c r="AQ752" s="1">
        <v>0.16800000000000001</v>
      </c>
      <c r="AV752" s="1">
        <v>1.218</v>
      </c>
    </row>
    <row r="753" spans="1:153" x14ac:dyDescent="0.2">
      <c r="A753" s="1" t="s">
        <v>4653</v>
      </c>
      <c r="B753" s="1" t="s">
        <v>57</v>
      </c>
      <c r="C753" s="1" t="s">
        <v>236</v>
      </c>
      <c r="E753" s="1">
        <v>57</v>
      </c>
      <c r="F753" s="1" t="s">
        <v>4649</v>
      </c>
      <c r="H753" s="1" t="s">
        <v>4654</v>
      </c>
      <c r="I753" s="1" t="s">
        <v>11</v>
      </c>
      <c r="J753" s="1" t="s">
        <v>4651</v>
      </c>
      <c r="K753" s="1" t="s">
        <v>4652</v>
      </c>
      <c r="L753" s="1" t="s">
        <v>4651</v>
      </c>
      <c r="N753" s="1" t="s">
        <v>4647</v>
      </c>
      <c r="P753" s="1" t="s">
        <v>4643</v>
      </c>
      <c r="Q753" s="1">
        <v>2007</v>
      </c>
      <c r="R753" s="1" t="s">
        <v>4644</v>
      </c>
      <c r="S753" s="1" t="s">
        <v>23</v>
      </c>
      <c r="T753" s="6">
        <v>1</v>
      </c>
      <c r="Z753" s="1">
        <v>76.7</v>
      </c>
      <c r="AC753" s="1">
        <v>18.9895</v>
      </c>
      <c r="AI753" s="1">
        <v>0.51259999999999994</v>
      </c>
      <c r="AQ753" s="1">
        <v>2.6562000000000001</v>
      </c>
      <c r="AV753" s="1">
        <v>1.1416999999999999</v>
      </c>
    </row>
    <row r="754" spans="1:153" x14ac:dyDescent="0.2">
      <c r="A754" s="1" t="s">
        <v>4655</v>
      </c>
      <c r="B754" s="1" t="s">
        <v>57</v>
      </c>
      <c r="C754" s="1" t="s">
        <v>4656</v>
      </c>
      <c r="D754" s="1" t="s">
        <v>2</v>
      </c>
      <c r="E754" s="1">
        <v>54</v>
      </c>
      <c r="F754" s="1" t="s">
        <v>4153</v>
      </c>
      <c r="G754" s="1" t="s">
        <v>4518</v>
      </c>
      <c r="H754" s="1" t="s">
        <v>4657</v>
      </c>
      <c r="I754" s="1" t="s">
        <v>11</v>
      </c>
      <c r="J754" s="1" t="s">
        <v>4658</v>
      </c>
      <c r="K754" s="1" t="s">
        <v>4156</v>
      </c>
      <c r="L754" s="1" t="s">
        <v>4155</v>
      </c>
      <c r="M754" s="1" t="s">
        <v>4659</v>
      </c>
      <c r="O754" s="1" t="s">
        <v>4518</v>
      </c>
      <c r="P754" s="1" t="s">
        <v>4660</v>
      </c>
      <c r="Q754" s="1">
        <v>2008</v>
      </c>
      <c r="R754" s="1" t="s">
        <v>4661</v>
      </c>
      <c r="S754" s="1" t="s">
        <v>25</v>
      </c>
      <c r="T754" s="6">
        <v>1</v>
      </c>
      <c r="Z754" s="1" t="s">
        <v>4662</v>
      </c>
      <c r="AE754" s="1" t="s">
        <v>4663</v>
      </c>
      <c r="AH754" s="1" t="s">
        <v>4664</v>
      </c>
      <c r="AV754" s="1" t="s">
        <v>4665</v>
      </c>
      <c r="DS754" s="1">
        <v>14286</v>
      </c>
      <c r="DU754" s="1">
        <v>704</v>
      </c>
      <c r="DV754" s="1">
        <v>869</v>
      </c>
      <c r="DX754" s="1">
        <v>1360</v>
      </c>
      <c r="DY754" s="1">
        <v>261</v>
      </c>
      <c r="EA754" s="1">
        <v>1784</v>
      </c>
      <c r="EB754" s="1">
        <v>801</v>
      </c>
      <c r="EC754" s="1">
        <v>426</v>
      </c>
      <c r="EF754" s="1">
        <v>592</v>
      </c>
      <c r="EG754" s="1">
        <v>954</v>
      </c>
      <c r="EH754" s="1">
        <v>1046</v>
      </c>
      <c r="EI754" s="1">
        <v>249</v>
      </c>
      <c r="EK754" s="1">
        <v>844</v>
      </c>
      <c r="EL754" s="1">
        <v>1523</v>
      </c>
      <c r="EM754" s="1">
        <v>812</v>
      </c>
      <c r="EO754" s="1">
        <v>718</v>
      </c>
      <c r="EQ754" s="1">
        <v>683</v>
      </c>
      <c r="ER754" s="1">
        <v>660</v>
      </c>
    </row>
    <row r="755" spans="1:153" x14ac:dyDescent="0.2">
      <c r="A755" s="1" t="s">
        <v>4666</v>
      </c>
      <c r="B755" s="1" t="s">
        <v>57</v>
      </c>
      <c r="C755" s="1" t="s">
        <v>4656</v>
      </c>
      <c r="D755" s="1" t="s">
        <v>2</v>
      </c>
      <c r="E755" s="1">
        <v>54</v>
      </c>
      <c r="F755" s="1" t="s">
        <v>4153</v>
      </c>
      <c r="G755" s="1" t="s">
        <v>4518</v>
      </c>
      <c r="H755" s="1" t="s">
        <v>4667</v>
      </c>
      <c r="I755" s="1" t="s">
        <v>11</v>
      </c>
      <c r="J755" s="1" t="s">
        <v>4658</v>
      </c>
      <c r="K755" s="1" t="s">
        <v>4156</v>
      </c>
      <c r="L755" s="1" t="s">
        <v>4155</v>
      </c>
      <c r="M755" s="1" t="s">
        <v>4659</v>
      </c>
      <c r="O755" s="1" t="s">
        <v>4518</v>
      </c>
      <c r="P755" s="1" t="s">
        <v>4660</v>
      </c>
      <c r="Q755" s="1">
        <v>2008</v>
      </c>
      <c r="R755" s="1" t="s">
        <v>4661</v>
      </c>
      <c r="S755" s="1" t="s">
        <v>25</v>
      </c>
      <c r="T755" s="6">
        <v>1</v>
      </c>
      <c r="Z755" s="1">
        <v>69.400000000000006</v>
      </c>
      <c r="AE755" s="1">
        <v>20.399999999999999</v>
      </c>
      <c r="AH755" s="1">
        <v>4.9000000000000004</v>
      </c>
      <c r="AV755" s="1">
        <v>2.4</v>
      </c>
      <c r="DS755" s="1">
        <v>16723</v>
      </c>
      <c r="DU755" s="1">
        <v>977</v>
      </c>
      <c r="DV755" s="1">
        <v>1490</v>
      </c>
      <c r="DX755" s="1">
        <v>1478</v>
      </c>
      <c r="DY755" s="1">
        <v>277</v>
      </c>
      <c r="EA755" s="1">
        <v>2081</v>
      </c>
      <c r="EB755" s="1">
        <v>998</v>
      </c>
      <c r="EC755" s="1">
        <v>466</v>
      </c>
      <c r="EF755" s="1">
        <v>651</v>
      </c>
      <c r="EG755" s="1">
        <v>1062</v>
      </c>
      <c r="EH755" s="1">
        <v>1770</v>
      </c>
      <c r="EI755" s="1">
        <v>288</v>
      </c>
      <c r="EK755" s="1">
        <v>847</v>
      </c>
      <c r="EL755" s="1">
        <v>1073</v>
      </c>
      <c r="EM755" s="1">
        <v>992</v>
      </c>
      <c r="EO755" s="1">
        <v>824</v>
      </c>
      <c r="EQ755" s="1">
        <v>730</v>
      </c>
      <c r="ER755" s="1">
        <v>719</v>
      </c>
    </row>
    <row r="756" spans="1:153" x14ac:dyDescent="0.2">
      <c r="A756" s="1" t="s">
        <v>4668</v>
      </c>
      <c r="B756" s="1" t="s">
        <v>57</v>
      </c>
      <c r="C756" s="1" t="s">
        <v>4656</v>
      </c>
      <c r="D756" s="1" t="s">
        <v>2</v>
      </c>
      <c r="E756" s="1">
        <v>54</v>
      </c>
      <c r="F756" s="1" t="s">
        <v>4153</v>
      </c>
      <c r="G756" s="1" t="s">
        <v>4518</v>
      </c>
      <c r="H756" s="1" t="s">
        <v>4669</v>
      </c>
      <c r="I756" s="1" t="s">
        <v>11</v>
      </c>
      <c r="J756" s="1" t="s">
        <v>4658</v>
      </c>
      <c r="K756" s="1" t="s">
        <v>4156</v>
      </c>
      <c r="L756" s="1" t="s">
        <v>4155</v>
      </c>
      <c r="M756" s="1" t="s">
        <v>4659</v>
      </c>
      <c r="O756" s="1" t="s">
        <v>4518</v>
      </c>
      <c r="P756" s="1" t="s">
        <v>4660</v>
      </c>
      <c r="Q756" s="1">
        <v>2008</v>
      </c>
      <c r="R756" s="1" t="s">
        <v>4661</v>
      </c>
      <c r="S756" s="1" t="s">
        <v>25</v>
      </c>
      <c r="T756" s="6">
        <v>1</v>
      </c>
      <c r="Z756" s="1" t="s">
        <v>4670</v>
      </c>
      <c r="AE756" s="1" t="s">
        <v>4671</v>
      </c>
      <c r="AH756" s="1" t="s">
        <v>4672</v>
      </c>
      <c r="AV756" s="1" t="s">
        <v>4673</v>
      </c>
      <c r="DS756" s="1" t="s">
        <v>4674</v>
      </c>
      <c r="DU756" s="1" t="s">
        <v>4204</v>
      </c>
      <c r="DV756" s="1" t="s">
        <v>4675</v>
      </c>
      <c r="DX756" s="1" t="s">
        <v>4676</v>
      </c>
      <c r="DY756" s="1" t="s">
        <v>4677</v>
      </c>
      <c r="EA756" s="1" t="s">
        <v>4678</v>
      </c>
      <c r="EB756" s="1" t="s">
        <v>4679</v>
      </c>
      <c r="EC756" s="1" t="s">
        <v>4680</v>
      </c>
      <c r="EF756" s="1" t="s">
        <v>4681</v>
      </c>
      <c r="EG756" s="1" t="s">
        <v>4682</v>
      </c>
      <c r="EH756" s="1" t="s">
        <v>4683</v>
      </c>
      <c r="EI756" s="1" t="s">
        <v>4684</v>
      </c>
      <c r="EK756" s="1" t="s">
        <v>4685</v>
      </c>
      <c r="EL756" s="1" t="s">
        <v>4686</v>
      </c>
      <c r="EM756" s="1" t="s">
        <v>4687</v>
      </c>
      <c r="EO756" s="1" t="s">
        <v>4688</v>
      </c>
      <c r="EQ756" s="1" t="s">
        <v>4689</v>
      </c>
      <c r="ER756" s="1" t="s">
        <v>4690</v>
      </c>
    </row>
    <row r="757" spans="1:153" x14ac:dyDescent="0.2">
      <c r="A757" s="1" t="s">
        <v>4691</v>
      </c>
      <c r="B757" s="1" t="s">
        <v>57</v>
      </c>
      <c r="C757" s="1" t="s">
        <v>4656</v>
      </c>
      <c r="D757" s="1" t="s">
        <v>2</v>
      </c>
      <c r="E757" s="1">
        <v>54</v>
      </c>
      <c r="F757" s="1" t="s">
        <v>4153</v>
      </c>
      <c r="G757" s="1" t="s">
        <v>4518</v>
      </c>
      <c r="H757" s="1" t="s">
        <v>4692</v>
      </c>
      <c r="I757" s="1" t="s">
        <v>11</v>
      </c>
      <c r="J757" s="1" t="s">
        <v>4658</v>
      </c>
      <c r="K757" s="1" t="s">
        <v>4156</v>
      </c>
      <c r="L757" s="1" t="s">
        <v>4155</v>
      </c>
      <c r="M757" s="1" t="s">
        <v>4659</v>
      </c>
      <c r="O757" s="1" t="s">
        <v>4518</v>
      </c>
      <c r="P757" s="1" t="s">
        <v>4660</v>
      </c>
      <c r="Q757" s="1">
        <v>2008</v>
      </c>
      <c r="R757" s="1" t="s">
        <v>4661</v>
      </c>
      <c r="S757" s="1" t="s">
        <v>25</v>
      </c>
      <c r="T757" s="6">
        <v>1</v>
      </c>
      <c r="Z757" s="1" t="s">
        <v>4693</v>
      </c>
      <c r="AE757" s="1" t="s">
        <v>4694</v>
      </c>
      <c r="AH757" s="1" t="s">
        <v>4695</v>
      </c>
      <c r="AV757" s="1" t="s">
        <v>4673</v>
      </c>
      <c r="DS757" s="1">
        <v>9913</v>
      </c>
      <c r="DU757" s="1">
        <v>519</v>
      </c>
      <c r="DV757" s="1">
        <v>758</v>
      </c>
      <c r="DX757" s="1">
        <v>969</v>
      </c>
      <c r="DY757" s="1">
        <v>216</v>
      </c>
      <c r="EA757" s="1">
        <v>1463</v>
      </c>
      <c r="EB757" s="1">
        <v>528</v>
      </c>
      <c r="EC757" s="1">
        <v>315</v>
      </c>
      <c r="EF757" s="1">
        <v>413</v>
      </c>
      <c r="EG757" s="1">
        <v>657</v>
      </c>
      <c r="EH757" s="1">
        <v>811</v>
      </c>
      <c r="EI757" s="1">
        <v>181</v>
      </c>
      <c r="EK757" s="1">
        <v>614</v>
      </c>
      <c r="EL757" s="1">
        <v>366</v>
      </c>
      <c r="EM757" s="1">
        <v>589</v>
      </c>
      <c r="EO757" s="1">
        <v>519</v>
      </c>
      <c r="EQ757" s="1">
        <v>527</v>
      </c>
      <c r="ER757" s="1">
        <v>468</v>
      </c>
    </row>
    <row r="758" spans="1:153" x14ac:dyDescent="0.2">
      <c r="A758" s="1" t="s">
        <v>4696</v>
      </c>
      <c r="B758" s="1" t="s">
        <v>57</v>
      </c>
      <c r="C758" s="1" t="s">
        <v>4656</v>
      </c>
      <c r="D758" s="1" t="s">
        <v>2</v>
      </c>
      <c r="E758" s="1">
        <v>54</v>
      </c>
      <c r="F758" s="1" t="s">
        <v>4153</v>
      </c>
      <c r="G758" s="1" t="s">
        <v>4518</v>
      </c>
      <c r="H758" s="1" t="s">
        <v>4697</v>
      </c>
      <c r="I758" s="1" t="s">
        <v>11</v>
      </c>
      <c r="J758" s="1" t="s">
        <v>4658</v>
      </c>
      <c r="K758" s="1" t="s">
        <v>4156</v>
      </c>
      <c r="L758" s="1" t="s">
        <v>4155</v>
      </c>
      <c r="M758" s="1" t="s">
        <v>4659</v>
      </c>
      <c r="O758" s="1" t="s">
        <v>4518</v>
      </c>
      <c r="P758" s="1" t="s">
        <v>4660</v>
      </c>
      <c r="Q758" s="1">
        <v>2008</v>
      </c>
      <c r="R758" s="1" t="s">
        <v>4661</v>
      </c>
      <c r="S758" s="1" t="s">
        <v>25</v>
      </c>
      <c r="T758" s="6">
        <v>1</v>
      </c>
      <c r="Z758" s="1" t="s">
        <v>4698</v>
      </c>
      <c r="AE758" s="1" t="s">
        <v>4699</v>
      </c>
      <c r="AH758" s="1" t="s">
        <v>4700</v>
      </c>
      <c r="AV758" s="1" t="s">
        <v>4701</v>
      </c>
      <c r="DS758" s="1">
        <v>10087</v>
      </c>
      <c r="DU758" s="1">
        <v>623</v>
      </c>
      <c r="DV758" s="1">
        <v>806</v>
      </c>
      <c r="DX758" s="1">
        <v>949</v>
      </c>
      <c r="EA758" s="1">
        <v>1433</v>
      </c>
      <c r="EB758" s="1">
        <v>550</v>
      </c>
      <c r="EC758" s="1">
        <v>307</v>
      </c>
      <c r="EF758" s="1">
        <v>406</v>
      </c>
      <c r="EG758" s="1">
        <v>660</v>
      </c>
      <c r="EH758" s="1">
        <v>902</v>
      </c>
      <c r="EI758" s="1">
        <v>137</v>
      </c>
      <c r="EK758" s="1">
        <v>671</v>
      </c>
      <c r="EL758" s="1">
        <v>532</v>
      </c>
      <c r="EM758" s="1">
        <v>598</v>
      </c>
      <c r="EO758" s="1">
        <v>531</v>
      </c>
      <c r="EQ758" s="1">
        <v>511</v>
      </c>
      <c r="ER758" s="1">
        <v>471</v>
      </c>
    </row>
    <row r="759" spans="1:153" x14ac:dyDescent="0.2">
      <c r="A759" s="1" t="s">
        <v>4702</v>
      </c>
      <c r="B759" s="1" t="s">
        <v>1912</v>
      </c>
      <c r="C759" s="1" t="s">
        <v>4703</v>
      </c>
      <c r="E759" s="1">
        <v>42</v>
      </c>
      <c r="F759" s="1" t="s">
        <v>4704</v>
      </c>
      <c r="G759" s="1" t="s">
        <v>4518</v>
      </c>
      <c r="H759" s="1" t="s">
        <v>4705</v>
      </c>
      <c r="I759" s="1" t="s">
        <v>7</v>
      </c>
      <c r="J759" s="1" t="s">
        <v>4706</v>
      </c>
      <c r="K759" s="1" t="s">
        <v>4707</v>
      </c>
      <c r="L759" s="1" t="s">
        <v>4706</v>
      </c>
      <c r="M759" s="1" t="s">
        <v>4518</v>
      </c>
      <c r="O759" s="1" t="s">
        <v>4518</v>
      </c>
      <c r="P759" s="1" t="s">
        <v>4708</v>
      </c>
      <c r="Q759" s="1">
        <v>2007</v>
      </c>
      <c r="R759" s="1" t="s">
        <v>4709</v>
      </c>
      <c r="S759" s="1" t="s">
        <v>25</v>
      </c>
      <c r="T759" s="6">
        <v>1</v>
      </c>
      <c r="W759" s="1">
        <v>69</v>
      </c>
      <c r="Z759" s="1">
        <v>82.97</v>
      </c>
      <c r="AC759" s="1">
        <v>13.37</v>
      </c>
      <c r="AJ759" s="1">
        <v>0.25</v>
      </c>
      <c r="AQ759" s="1">
        <v>2.2599999999999998</v>
      </c>
      <c r="AV759" s="1">
        <v>1.1499999999999999</v>
      </c>
      <c r="AY759" s="1" t="s">
        <v>4710</v>
      </c>
      <c r="BD759" s="1" t="s">
        <v>4711</v>
      </c>
      <c r="BF759" s="1" t="s">
        <v>4712</v>
      </c>
      <c r="BH759" s="1" t="s">
        <v>4713</v>
      </c>
      <c r="BJ759" s="1" t="s">
        <v>4714</v>
      </c>
      <c r="BK759" s="1" t="s">
        <v>4715</v>
      </c>
      <c r="BM759" s="1" t="s">
        <v>4716</v>
      </c>
      <c r="BP759" s="1" t="s">
        <v>4717</v>
      </c>
      <c r="BW759" s="1" t="s">
        <v>4718</v>
      </c>
    </row>
    <row r="760" spans="1:153" x14ac:dyDescent="0.2">
      <c r="A760" s="1" t="s">
        <v>4719</v>
      </c>
      <c r="B760" s="1" t="s">
        <v>57</v>
      </c>
      <c r="C760" s="1" t="s">
        <v>4720</v>
      </c>
      <c r="D760" s="1" t="s">
        <v>2</v>
      </c>
      <c r="E760" s="1">
        <v>52</v>
      </c>
      <c r="F760" s="1" t="s">
        <v>3762</v>
      </c>
      <c r="G760" s="1" t="s">
        <v>4518</v>
      </c>
      <c r="H760" s="1" t="s">
        <v>4721</v>
      </c>
      <c r="I760" s="1" t="s">
        <v>7</v>
      </c>
      <c r="J760" s="1" t="s">
        <v>4722</v>
      </c>
      <c r="K760" s="1" t="s">
        <v>3765</v>
      </c>
      <c r="L760" s="1" t="s">
        <v>3766</v>
      </c>
      <c r="M760" s="1" t="s">
        <v>4723</v>
      </c>
      <c r="O760" s="1" t="s">
        <v>4518</v>
      </c>
      <c r="Q760" s="1">
        <v>2006</v>
      </c>
      <c r="R760" s="1" t="s">
        <v>4724</v>
      </c>
      <c r="S760" s="1" t="s">
        <v>25</v>
      </c>
      <c r="T760" s="6">
        <v>1</v>
      </c>
      <c r="AH760" s="1">
        <v>1.1000000000000001</v>
      </c>
      <c r="AK760" s="1">
        <v>0.14849999999999999</v>
      </c>
      <c r="AL760" s="1">
        <v>0.1047</v>
      </c>
      <c r="AM760" s="1">
        <v>0.18559999999999999</v>
      </c>
    </row>
    <row r="761" spans="1:153" x14ac:dyDescent="0.2">
      <c r="A761" s="1" t="s">
        <v>4725</v>
      </c>
      <c r="B761" s="1" t="s">
        <v>57</v>
      </c>
      <c r="C761" s="1" t="s">
        <v>4720</v>
      </c>
      <c r="D761" s="1" t="s">
        <v>2</v>
      </c>
      <c r="E761" s="1">
        <v>52</v>
      </c>
      <c r="F761" s="1" t="s">
        <v>3762</v>
      </c>
      <c r="G761" s="1" t="s">
        <v>4518</v>
      </c>
      <c r="H761" s="1" t="s">
        <v>4721</v>
      </c>
      <c r="I761" s="1" t="s">
        <v>7</v>
      </c>
      <c r="J761" s="1" t="s">
        <v>4722</v>
      </c>
      <c r="K761" s="1" t="s">
        <v>3765</v>
      </c>
      <c r="L761" s="1" t="s">
        <v>3766</v>
      </c>
      <c r="M761" s="1" t="s">
        <v>4726</v>
      </c>
      <c r="O761" s="1" t="s">
        <v>4518</v>
      </c>
      <c r="Q761" s="1">
        <v>2006</v>
      </c>
      <c r="R761" s="1" t="s">
        <v>4724</v>
      </c>
      <c r="S761" s="1" t="s">
        <v>25</v>
      </c>
      <c r="T761" s="6">
        <v>1</v>
      </c>
      <c r="AH761" s="1">
        <v>2.5</v>
      </c>
      <c r="AK761" s="1">
        <v>0.21329999999999999</v>
      </c>
      <c r="AL761" s="1">
        <v>9.0399999999999994E-2</v>
      </c>
      <c r="AM761" s="1">
        <v>0.1555</v>
      </c>
    </row>
    <row r="762" spans="1:153" x14ac:dyDescent="0.2">
      <c r="A762" s="1" t="s">
        <v>4727</v>
      </c>
      <c r="B762" s="1" t="s">
        <v>57</v>
      </c>
      <c r="C762" s="1" t="s">
        <v>4720</v>
      </c>
      <c r="D762" s="1" t="s">
        <v>2</v>
      </c>
      <c r="E762" s="1">
        <v>52</v>
      </c>
      <c r="F762" s="1" t="s">
        <v>3762</v>
      </c>
      <c r="G762" s="1" t="s">
        <v>4518</v>
      </c>
      <c r="H762" s="1" t="s">
        <v>4721</v>
      </c>
      <c r="I762" s="1" t="s">
        <v>7</v>
      </c>
      <c r="J762" s="1" t="s">
        <v>4722</v>
      </c>
      <c r="K762" s="1" t="s">
        <v>3765</v>
      </c>
      <c r="L762" s="1" t="s">
        <v>3766</v>
      </c>
      <c r="M762" s="1" t="s">
        <v>4728</v>
      </c>
      <c r="O762" s="1" t="s">
        <v>4518</v>
      </c>
      <c r="Q762" s="1">
        <v>2006</v>
      </c>
      <c r="R762" s="1" t="s">
        <v>4724</v>
      </c>
      <c r="S762" s="1" t="s">
        <v>25</v>
      </c>
      <c r="T762" s="6">
        <v>1</v>
      </c>
      <c r="AH762" s="1">
        <v>0.8</v>
      </c>
      <c r="AK762" s="1">
        <v>9.69E-2</v>
      </c>
      <c r="AL762" s="1">
        <v>6.88E-2</v>
      </c>
      <c r="AM762" s="1">
        <v>0.1229</v>
      </c>
    </row>
    <row r="763" spans="1:153" x14ac:dyDescent="0.2">
      <c r="A763" s="1" t="s">
        <v>4729</v>
      </c>
      <c r="B763" s="1" t="s">
        <v>57</v>
      </c>
      <c r="C763" s="1" t="s">
        <v>4720</v>
      </c>
      <c r="D763" s="1" t="s">
        <v>2</v>
      </c>
      <c r="E763" s="1">
        <v>52</v>
      </c>
      <c r="F763" s="1" t="s">
        <v>3762</v>
      </c>
      <c r="G763" s="1" t="s">
        <v>4518</v>
      </c>
      <c r="H763" s="1" t="s">
        <v>4721</v>
      </c>
      <c r="I763" s="1" t="s">
        <v>7</v>
      </c>
      <c r="J763" s="1" t="s">
        <v>4722</v>
      </c>
      <c r="K763" s="1" t="s">
        <v>3765</v>
      </c>
      <c r="L763" s="1" t="s">
        <v>3766</v>
      </c>
      <c r="M763" s="1" t="s">
        <v>4730</v>
      </c>
      <c r="O763" s="1" t="s">
        <v>4518</v>
      </c>
      <c r="Q763" s="1">
        <v>2006</v>
      </c>
      <c r="R763" s="1" t="s">
        <v>4724</v>
      </c>
      <c r="S763" s="1" t="s">
        <v>25</v>
      </c>
      <c r="T763" s="6">
        <v>1</v>
      </c>
      <c r="AH763" s="1">
        <v>1.2</v>
      </c>
      <c r="AK763" s="1">
        <v>0.155</v>
      </c>
      <c r="AL763" s="1">
        <v>0.10299999999999999</v>
      </c>
      <c r="AM763" s="1">
        <v>0.1988</v>
      </c>
    </row>
    <row r="764" spans="1:153" x14ac:dyDescent="0.2">
      <c r="A764" s="1" t="s">
        <v>4731</v>
      </c>
      <c r="B764" s="1" t="s">
        <v>57</v>
      </c>
      <c r="C764" s="1" t="s">
        <v>4720</v>
      </c>
      <c r="D764" s="1" t="s">
        <v>2</v>
      </c>
      <c r="E764" s="1">
        <v>52</v>
      </c>
      <c r="F764" s="1" t="s">
        <v>4732</v>
      </c>
      <c r="G764" s="1" t="s">
        <v>4518</v>
      </c>
      <c r="H764" s="1" t="s">
        <v>4733</v>
      </c>
      <c r="I764" s="1" t="s">
        <v>7</v>
      </c>
      <c r="J764" s="1" t="s">
        <v>4734</v>
      </c>
      <c r="K764" s="1" t="s">
        <v>4735</v>
      </c>
      <c r="L764" s="1" t="s">
        <v>4734</v>
      </c>
      <c r="M764" s="1" t="s">
        <v>4723</v>
      </c>
      <c r="O764" s="1" t="s">
        <v>4518</v>
      </c>
      <c r="Q764" s="1">
        <v>2006</v>
      </c>
      <c r="R764" s="1" t="s">
        <v>4724</v>
      </c>
      <c r="S764" s="1" t="s">
        <v>25</v>
      </c>
      <c r="T764" s="6">
        <v>1</v>
      </c>
      <c r="AH764" s="1">
        <v>1.2</v>
      </c>
      <c r="AK764" s="1">
        <v>0.13589999999999999</v>
      </c>
      <c r="AL764" s="1">
        <v>0.1145</v>
      </c>
      <c r="AM764" s="1">
        <v>0.1802</v>
      </c>
    </row>
    <row r="765" spans="1:153" x14ac:dyDescent="0.2">
      <c r="A765" s="1" t="s">
        <v>4736</v>
      </c>
      <c r="B765" s="1" t="s">
        <v>57</v>
      </c>
      <c r="C765" s="1" t="s">
        <v>4720</v>
      </c>
      <c r="D765" s="1" t="s">
        <v>2</v>
      </c>
      <c r="E765" s="1">
        <v>52</v>
      </c>
      <c r="F765" s="1" t="s">
        <v>4732</v>
      </c>
      <c r="G765" s="1" t="s">
        <v>4518</v>
      </c>
      <c r="H765" s="1" t="s">
        <v>4733</v>
      </c>
      <c r="I765" s="1" t="s">
        <v>7</v>
      </c>
      <c r="J765" s="1" t="s">
        <v>4734</v>
      </c>
      <c r="K765" s="1" t="s">
        <v>4735</v>
      </c>
      <c r="L765" s="1" t="s">
        <v>4734</v>
      </c>
      <c r="M765" s="1" t="s">
        <v>4726</v>
      </c>
      <c r="O765" s="1" t="s">
        <v>4518</v>
      </c>
      <c r="Q765" s="1">
        <v>2006</v>
      </c>
      <c r="R765" s="1" t="s">
        <v>4724</v>
      </c>
      <c r="S765" s="1" t="s">
        <v>25</v>
      </c>
      <c r="T765" s="6">
        <v>1</v>
      </c>
      <c r="AH765" s="1">
        <v>2.7</v>
      </c>
      <c r="AK765" s="1">
        <v>0.17749999999999999</v>
      </c>
      <c r="AL765" s="1">
        <v>9.6500000000000002E-2</v>
      </c>
      <c r="AM765" s="1">
        <v>0.1565</v>
      </c>
    </row>
    <row r="766" spans="1:153" x14ac:dyDescent="0.2">
      <c r="A766" s="1" t="s">
        <v>4737</v>
      </c>
      <c r="B766" s="1" t="s">
        <v>57</v>
      </c>
      <c r="C766" s="1" t="s">
        <v>4720</v>
      </c>
      <c r="D766" s="1" t="s">
        <v>2</v>
      </c>
      <c r="E766" s="1">
        <v>52</v>
      </c>
      <c r="F766" s="1" t="s">
        <v>4732</v>
      </c>
      <c r="G766" s="1" t="s">
        <v>4518</v>
      </c>
      <c r="H766" s="1" t="s">
        <v>4733</v>
      </c>
      <c r="I766" s="1" t="s">
        <v>7</v>
      </c>
      <c r="J766" s="1" t="s">
        <v>4734</v>
      </c>
      <c r="K766" s="1" t="s">
        <v>4735</v>
      </c>
      <c r="L766" s="1" t="s">
        <v>4734</v>
      </c>
      <c r="M766" s="1" t="s">
        <v>4728</v>
      </c>
      <c r="O766" s="1" t="s">
        <v>4518</v>
      </c>
      <c r="Q766" s="1">
        <v>2006</v>
      </c>
      <c r="R766" s="1" t="s">
        <v>4724</v>
      </c>
      <c r="S766" s="1" t="s">
        <v>25</v>
      </c>
      <c r="T766" s="6">
        <v>1</v>
      </c>
      <c r="AH766" s="1">
        <v>0.9</v>
      </c>
      <c r="AK766" s="1">
        <v>9.5600000000000004E-2</v>
      </c>
      <c r="AL766" s="1">
        <v>8.72E-2</v>
      </c>
      <c r="AM766" s="1">
        <v>0.1404</v>
      </c>
    </row>
    <row r="767" spans="1:153" x14ac:dyDescent="0.2">
      <c r="A767" s="1" t="s">
        <v>4738</v>
      </c>
      <c r="B767" s="1" t="s">
        <v>57</v>
      </c>
      <c r="C767" s="1" t="s">
        <v>4720</v>
      </c>
      <c r="D767" s="1" t="s">
        <v>2</v>
      </c>
      <c r="E767" s="1">
        <v>52</v>
      </c>
      <c r="F767" s="1" t="s">
        <v>4732</v>
      </c>
      <c r="G767" s="1" t="s">
        <v>4518</v>
      </c>
      <c r="H767" s="1" t="s">
        <v>4733</v>
      </c>
      <c r="I767" s="1" t="s">
        <v>7</v>
      </c>
      <c r="J767" s="1" t="s">
        <v>4734</v>
      </c>
      <c r="K767" s="1" t="s">
        <v>4735</v>
      </c>
      <c r="L767" s="1" t="s">
        <v>4734</v>
      </c>
      <c r="M767" s="1" t="s">
        <v>4730</v>
      </c>
      <c r="O767" s="1" t="s">
        <v>4518</v>
      </c>
      <c r="Q767" s="1">
        <v>2006</v>
      </c>
      <c r="R767" s="1" t="s">
        <v>4724</v>
      </c>
      <c r="S767" s="1" t="s">
        <v>25</v>
      </c>
      <c r="T767" s="6">
        <v>1</v>
      </c>
      <c r="AH767" s="1">
        <v>1</v>
      </c>
      <c r="AK767" s="1">
        <v>0.1202</v>
      </c>
      <c r="AL767" s="1">
        <v>0.1191</v>
      </c>
      <c r="AM767" s="1">
        <v>0.19550000000000001</v>
      </c>
    </row>
    <row r="768" spans="1:153" x14ac:dyDescent="0.2">
      <c r="A768" s="1" t="s">
        <v>4739</v>
      </c>
      <c r="B768" s="1" t="s">
        <v>1912</v>
      </c>
      <c r="C768" s="1" t="s">
        <v>4740</v>
      </c>
      <c r="D768" s="1" t="s">
        <v>2</v>
      </c>
      <c r="E768" s="1">
        <v>41</v>
      </c>
      <c r="F768" s="1" t="s">
        <v>4741</v>
      </c>
      <c r="G768" s="1" t="s">
        <v>4742</v>
      </c>
      <c r="H768" s="1" t="s">
        <v>4743</v>
      </c>
      <c r="I768" s="1" t="s">
        <v>7</v>
      </c>
      <c r="J768" s="1" t="s">
        <v>4744</v>
      </c>
      <c r="K768" s="1" t="s">
        <v>4745</v>
      </c>
      <c r="L768" s="1" t="s">
        <v>4744</v>
      </c>
      <c r="M768" s="1" t="s">
        <v>4518</v>
      </c>
      <c r="N768" s="1" t="s">
        <v>4746</v>
      </c>
      <c r="O768" s="1">
        <v>5</v>
      </c>
      <c r="P768" s="1" t="s">
        <v>4747</v>
      </c>
      <c r="Q768" s="1">
        <v>2001</v>
      </c>
      <c r="R768" s="1" t="s">
        <v>4748</v>
      </c>
      <c r="S768" s="1" t="s">
        <v>25</v>
      </c>
      <c r="T768" s="6">
        <v>1</v>
      </c>
      <c r="AH768" s="1">
        <v>1.1000000000000001</v>
      </c>
      <c r="AK768" s="1">
        <v>0.25950000000000001</v>
      </c>
      <c r="AL768" s="1">
        <v>0.15740000000000001</v>
      </c>
      <c r="AM768" s="1">
        <v>0.24160000000000001</v>
      </c>
      <c r="EW768" s="1">
        <v>139</v>
      </c>
    </row>
    <row r="769" spans="1:81" x14ac:dyDescent="0.2">
      <c r="A769" s="1" t="s">
        <v>4749</v>
      </c>
      <c r="B769" s="1" t="s">
        <v>57</v>
      </c>
      <c r="C769" s="1" t="s">
        <v>4750</v>
      </c>
      <c r="D769" s="1" t="s">
        <v>2</v>
      </c>
      <c r="E769" s="1">
        <v>54</v>
      </c>
      <c r="F769" s="1" t="s">
        <v>4751</v>
      </c>
      <c r="G769" s="1" t="s">
        <v>4518</v>
      </c>
      <c r="H769" s="1" t="s">
        <v>4752</v>
      </c>
      <c r="I769" s="1" t="s">
        <v>7</v>
      </c>
      <c r="J769" s="1" t="s">
        <v>4753</v>
      </c>
      <c r="K769" s="1" t="s">
        <v>4754</v>
      </c>
      <c r="L769" s="1" t="s">
        <v>4753</v>
      </c>
      <c r="M769" s="1" t="s">
        <v>3011</v>
      </c>
      <c r="N769" s="1" t="s">
        <v>4755</v>
      </c>
      <c r="O769" s="1" t="s">
        <v>4518</v>
      </c>
      <c r="Q769" s="1">
        <v>2004</v>
      </c>
      <c r="R769" s="1" t="s">
        <v>4756</v>
      </c>
      <c r="S769" s="1" t="s">
        <v>25</v>
      </c>
      <c r="T769" s="6">
        <v>1</v>
      </c>
      <c r="BD769" s="1">
        <v>0.13200000000000001</v>
      </c>
      <c r="BW769" s="1">
        <v>1.53</v>
      </c>
      <c r="CA769" s="1">
        <v>18</v>
      </c>
      <c r="CC769" s="1">
        <v>43</v>
      </c>
    </row>
    <row r="770" spans="1:81" x14ac:dyDescent="0.2">
      <c r="A770" s="1" t="s">
        <v>4757</v>
      </c>
      <c r="B770" s="1" t="s">
        <v>57</v>
      </c>
      <c r="C770" s="1" t="s">
        <v>4758</v>
      </c>
      <c r="D770" s="1" t="s">
        <v>2</v>
      </c>
      <c r="E770" s="1">
        <v>54</v>
      </c>
      <c r="F770" s="1" t="s">
        <v>4751</v>
      </c>
      <c r="G770" s="1" t="s">
        <v>4518</v>
      </c>
      <c r="H770" s="1" t="s">
        <v>4752</v>
      </c>
      <c r="I770" s="1" t="s">
        <v>7</v>
      </c>
      <c r="J770" s="1" t="s">
        <v>4753</v>
      </c>
      <c r="K770" s="1" t="s">
        <v>4754</v>
      </c>
      <c r="L770" s="1" t="s">
        <v>4753</v>
      </c>
      <c r="M770" s="1" t="s">
        <v>4759</v>
      </c>
      <c r="N770" s="1" t="s">
        <v>4760</v>
      </c>
      <c r="O770" s="1" t="s">
        <v>4518</v>
      </c>
      <c r="Q770" s="1">
        <v>2004</v>
      </c>
      <c r="R770" s="1" t="s">
        <v>4756</v>
      </c>
      <c r="S770" s="1" t="s">
        <v>25</v>
      </c>
      <c r="T770" s="6">
        <v>1</v>
      </c>
      <c r="BD770" s="1">
        <v>0.13900000000000001</v>
      </c>
      <c r="BW770" s="1">
        <v>1.6379999999999999</v>
      </c>
      <c r="CA770" s="1">
        <v>19</v>
      </c>
      <c r="CC770" s="1">
        <v>58</v>
      </c>
    </row>
    <row r="771" spans="1:81" x14ac:dyDescent="0.2">
      <c r="A771" s="1" t="s">
        <v>4761</v>
      </c>
      <c r="B771" s="1" t="s">
        <v>57</v>
      </c>
      <c r="C771" s="1" t="s">
        <v>4762</v>
      </c>
      <c r="D771" s="1" t="s">
        <v>2</v>
      </c>
      <c r="E771" s="1">
        <v>54</v>
      </c>
      <c r="F771" s="1" t="s">
        <v>4751</v>
      </c>
      <c r="G771" s="1" t="s">
        <v>4518</v>
      </c>
      <c r="H771" s="1" t="s">
        <v>4752</v>
      </c>
      <c r="I771" s="1" t="s">
        <v>7</v>
      </c>
      <c r="J771" s="1" t="s">
        <v>4753</v>
      </c>
      <c r="K771" s="1" t="s">
        <v>4754</v>
      </c>
      <c r="L771" s="1" t="s">
        <v>4753</v>
      </c>
      <c r="M771" s="1" t="s">
        <v>2999</v>
      </c>
      <c r="N771" s="1" t="s">
        <v>4763</v>
      </c>
      <c r="O771" s="1" t="s">
        <v>4518</v>
      </c>
      <c r="Q771" s="1">
        <v>2004</v>
      </c>
      <c r="R771" s="1" t="s">
        <v>4756</v>
      </c>
      <c r="S771" s="1" t="s">
        <v>25</v>
      </c>
      <c r="T771" s="6">
        <v>1</v>
      </c>
      <c r="BD771" s="1">
        <v>0.185</v>
      </c>
      <c r="BW771" s="1">
        <v>1.6819999999999999</v>
      </c>
      <c r="CA771" s="1">
        <v>18</v>
      </c>
      <c r="CC771" s="1">
        <v>134</v>
      </c>
    </row>
    <row r="772" spans="1:81" x14ac:dyDescent="0.2">
      <c r="A772" s="1" t="s">
        <v>4764</v>
      </c>
      <c r="B772" s="1" t="s">
        <v>57</v>
      </c>
      <c r="C772" s="1" t="s">
        <v>4765</v>
      </c>
      <c r="D772" s="1" t="s">
        <v>2</v>
      </c>
      <c r="E772" s="1">
        <v>54</v>
      </c>
      <c r="F772" s="1" t="s">
        <v>4751</v>
      </c>
      <c r="G772" s="1" t="s">
        <v>4518</v>
      </c>
      <c r="H772" s="1" t="s">
        <v>4752</v>
      </c>
      <c r="I772" s="1" t="s">
        <v>7</v>
      </c>
      <c r="J772" s="1" t="s">
        <v>4753</v>
      </c>
      <c r="K772" s="1" t="s">
        <v>4754</v>
      </c>
      <c r="L772" s="1" t="s">
        <v>4753</v>
      </c>
      <c r="M772" s="1" t="s">
        <v>3001</v>
      </c>
      <c r="N772" s="1" t="s">
        <v>4766</v>
      </c>
      <c r="O772" s="1" t="s">
        <v>4518</v>
      </c>
      <c r="Q772" s="1">
        <v>2004</v>
      </c>
      <c r="R772" s="1" t="s">
        <v>4756</v>
      </c>
      <c r="S772" s="1" t="s">
        <v>25</v>
      </c>
      <c r="T772" s="6">
        <v>1</v>
      </c>
      <c r="BD772" s="1">
        <v>0.155</v>
      </c>
      <c r="BW772" s="1">
        <v>1.72</v>
      </c>
      <c r="CA772" s="1">
        <v>22</v>
      </c>
      <c r="CC772" s="1">
        <v>136</v>
      </c>
    </row>
    <row r="773" spans="1:81" x14ac:dyDescent="0.2">
      <c r="A773" s="1" t="s">
        <v>4767</v>
      </c>
      <c r="B773" s="1" t="s">
        <v>57</v>
      </c>
      <c r="C773" s="1" t="s">
        <v>4768</v>
      </c>
      <c r="D773" s="1" t="s">
        <v>2</v>
      </c>
      <c r="E773" s="1">
        <v>54</v>
      </c>
      <c r="F773" s="1" t="s">
        <v>4751</v>
      </c>
      <c r="G773" s="1" t="s">
        <v>4518</v>
      </c>
      <c r="H773" s="1" t="s">
        <v>4752</v>
      </c>
      <c r="I773" s="1" t="s">
        <v>7</v>
      </c>
      <c r="J773" s="1" t="s">
        <v>4753</v>
      </c>
      <c r="K773" s="1" t="s">
        <v>4754</v>
      </c>
      <c r="L773" s="1" t="s">
        <v>4753</v>
      </c>
      <c r="M773" s="1" t="s">
        <v>2997</v>
      </c>
      <c r="N773" s="1" t="s">
        <v>4769</v>
      </c>
      <c r="O773" s="1" t="s">
        <v>4518</v>
      </c>
      <c r="Q773" s="1">
        <v>2004</v>
      </c>
      <c r="R773" s="1" t="s">
        <v>4756</v>
      </c>
      <c r="S773" s="1" t="s">
        <v>25</v>
      </c>
      <c r="T773" s="6">
        <v>1</v>
      </c>
      <c r="BD773" s="1">
        <v>0.19</v>
      </c>
      <c r="BW773" s="1">
        <v>1.28</v>
      </c>
      <c r="CA773" s="1">
        <v>18</v>
      </c>
      <c r="CC773" s="1">
        <v>129</v>
      </c>
    </row>
    <row r="774" spans="1:81" x14ac:dyDescent="0.2">
      <c r="A774" s="1" t="s">
        <v>4770</v>
      </c>
      <c r="B774" s="1" t="s">
        <v>1912</v>
      </c>
      <c r="C774" s="1" t="s">
        <v>4771</v>
      </c>
      <c r="D774" s="1" t="s">
        <v>2</v>
      </c>
      <c r="E774" s="1">
        <v>41</v>
      </c>
      <c r="F774" s="1" t="s">
        <v>4772</v>
      </c>
      <c r="G774" s="1" t="s">
        <v>4518</v>
      </c>
      <c r="H774" s="1" t="s">
        <v>4773</v>
      </c>
      <c r="I774" s="1" t="s">
        <v>7</v>
      </c>
      <c r="J774" s="1" t="s">
        <v>4774</v>
      </c>
      <c r="K774" s="1" t="s">
        <v>4775</v>
      </c>
      <c r="L774" s="1" t="s">
        <v>4774</v>
      </c>
      <c r="M774" s="1" t="s">
        <v>2880</v>
      </c>
      <c r="N774" s="1" t="s">
        <v>4776</v>
      </c>
      <c r="O774" s="1">
        <v>4</v>
      </c>
      <c r="Q774" s="1">
        <v>1997</v>
      </c>
      <c r="R774" s="1" t="s">
        <v>4777</v>
      </c>
      <c r="S774" s="1" t="s">
        <v>25</v>
      </c>
      <c r="T774" s="6">
        <v>1</v>
      </c>
    </row>
    <row r="775" spans="1:81" x14ac:dyDescent="0.2">
      <c r="A775" s="1" t="s">
        <v>4778</v>
      </c>
      <c r="B775" s="1" t="s">
        <v>1912</v>
      </c>
      <c r="C775" s="1" t="s">
        <v>4779</v>
      </c>
      <c r="D775" s="1" t="s">
        <v>2</v>
      </c>
      <c r="E775" s="1">
        <v>41</v>
      </c>
      <c r="F775" s="1" t="s">
        <v>4780</v>
      </c>
      <c r="G775" s="1" t="s">
        <v>4518</v>
      </c>
      <c r="H775" s="1" t="s">
        <v>4781</v>
      </c>
      <c r="I775" s="1" t="s">
        <v>7</v>
      </c>
      <c r="J775" s="1" t="s">
        <v>4782</v>
      </c>
      <c r="K775" s="1" t="s">
        <v>4783</v>
      </c>
      <c r="L775" s="1" t="s">
        <v>4782</v>
      </c>
      <c r="M775" s="1" t="s">
        <v>2880</v>
      </c>
      <c r="N775" s="1" t="s">
        <v>4784</v>
      </c>
      <c r="O775" s="1">
        <v>4</v>
      </c>
      <c r="Q775" s="1">
        <v>1997</v>
      </c>
      <c r="R775" s="1" t="s">
        <v>4777</v>
      </c>
      <c r="S775" s="1" t="s">
        <v>25</v>
      </c>
      <c r="T775" s="6">
        <v>1</v>
      </c>
    </row>
    <row r="776" spans="1:81" x14ac:dyDescent="0.2">
      <c r="A776" s="1" t="s">
        <v>4785</v>
      </c>
      <c r="B776" s="1" t="s">
        <v>57</v>
      </c>
      <c r="C776" s="1" t="s">
        <v>4786</v>
      </c>
      <c r="D776" s="1" t="s">
        <v>4518</v>
      </c>
      <c r="E776" s="1">
        <v>57</v>
      </c>
      <c r="F776" s="1" t="s">
        <v>4638</v>
      </c>
      <c r="G776" s="1" t="s">
        <v>4518</v>
      </c>
      <c r="H776" s="1" t="s">
        <v>4787</v>
      </c>
      <c r="I776" s="1" t="s">
        <v>11</v>
      </c>
      <c r="J776" s="1" t="s">
        <v>4640</v>
      </c>
      <c r="K776" s="1" t="s">
        <v>4641</v>
      </c>
      <c r="L776" s="1" t="s">
        <v>4640</v>
      </c>
      <c r="M776" s="1" t="s">
        <v>4518</v>
      </c>
      <c r="N776" s="1" t="s">
        <v>4788</v>
      </c>
      <c r="O776" s="1" t="s">
        <v>4518</v>
      </c>
      <c r="P776" s="1" t="s">
        <v>4789</v>
      </c>
      <c r="Q776" s="1">
        <v>2000</v>
      </c>
      <c r="R776" s="1" t="s">
        <v>4790</v>
      </c>
      <c r="S776" s="1" t="s">
        <v>25</v>
      </c>
      <c r="T776" s="6">
        <v>1</v>
      </c>
      <c r="Z776" s="1">
        <v>74.2</v>
      </c>
      <c r="AC776" s="1">
        <v>22.6266</v>
      </c>
      <c r="AJ776" s="1">
        <v>0.4128</v>
      </c>
      <c r="AQ776" s="1">
        <v>1.3415999999999999</v>
      </c>
      <c r="AV776" s="1">
        <v>1.4448000000000001</v>
      </c>
    </row>
    <row r="777" spans="1:81" x14ac:dyDescent="0.2">
      <c r="A777" s="1" t="s">
        <v>4791</v>
      </c>
      <c r="B777" s="1" t="s">
        <v>1912</v>
      </c>
      <c r="C777" s="1" t="s">
        <v>4792</v>
      </c>
      <c r="D777" s="1" t="s">
        <v>2</v>
      </c>
      <c r="E777" s="1">
        <v>41</v>
      </c>
      <c r="F777" s="1" t="s">
        <v>4138</v>
      </c>
      <c r="G777" s="1" t="s">
        <v>4518</v>
      </c>
      <c r="H777" s="1" t="s">
        <v>4793</v>
      </c>
      <c r="I777" s="1" t="s">
        <v>7</v>
      </c>
      <c r="J777" s="1" t="s">
        <v>4140</v>
      </c>
      <c r="K777" s="1" t="s">
        <v>4141</v>
      </c>
      <c r="L777" s="1" t="s">
        <v>4140</v>
      </c>
      <c r="M777" s="1" t="s">
        <v>2571</v>
      </c>
      <c r="N777" s="1" t="s">
        <v>4794</v>
      </c>
      <c r="O777" s="1" t="s">
        <v>4518</v>
      </c>
      <c r="P777" s="1" t="s">
        <v>1270</v>
      </c>
      <c r="Q777" s="1">
        <v>2007</v>
      </c>
      <c r="R777" s="1" t="s">
        <v>4795</v>
      </c>
      <c r="S777" s="1" t="s">
        <v>25</v>
      </c>
      <c r="T777" s="6">
        <v>1</v>
      </c>
      <c r="U777" s="1">
        <v>8.6300000000000002E-2</v>
      </c>
      <c r="Z777" s="1">
        <v>47.87</v>
      </c>
      <c r="AA777" s="1">
        <v>6.25</v>
      </c>
      <c r="AC777" s="1">
        <v>30.74</v>
      </c>
      <c r="AH777" s="1">
        <v>18.75</v>
      </c>
      <c r="AK777" s="1">
        <v>3.7422240000000002</v>
      </c>
      <c r="AL777" s="1">
        <v>7.2549720000000004</v>
      </c>
      <c r="AM777" s="1">
        <v>6.1605480000000004</v>
      </c>
      <c r="AV777" s="1">
        <v>2.12</v>
      </c>
    </row>
    <row r="778" spans="1:81" x14ac:dyDescent="0.2">
      <c r="A778" s="1" t="s">
        <v>4796</v>
      </c>
      <c r="B778" s="1" t="s">
        <v>1912</v>
      </c>
      <c r="C778" s="1" t="s">
        <v>4792</v>
      </c>
      <c r="D778" s="1" t="s">
        <v>2</v>
      </c>
      <c r="E778" s="1">
        <v>41</v>
      </c>
      <c r="F778" s="1" t="s">
        <v>4138</v>
      </c>
      <c r="G778" s="1" t="s">
        <v>4518</v>
      </c>
      <c r="H778" s="1" t="s">
        <v>4797</v>
      </c>
      <c r="I778" s="1" t="s">
        <v>7</v>
      </c>
      <c r="J778" s="1" t="s">
        <v>4140</v>
      </c>
      <c r="K778" s="1" t="s">
        <v>4141</v>
      </c>
      <c r="L778" s="1" t="s">
        <v>4140</v>
      </c>
      <c r="M778" s="1" t="s">
        <v>2571</v>
      </c>
      <c r="N778" s="1" t="s">
        <v>4794</v>
      </c>
      <c r="O778" s="1" t="s">
        <v>4518</v>
      </c>
      <c r="P778" s="1" t="s">
        <v>1270</v>
      </c>
      <c r="Q778" s="1">
        <v>2007</v>
      </c>
      <c r="R778" s="1" t="s">
        <v>4795</v>
      </c>
      <c r="S778" s="1" t="s">
        <v>25</v>
      </c>
      <c r="T778" s="6">
        <v>1</v>
      </c>
      <c r="U778" s="1">
        <v>0.22450000000000001</v>
      </c>
      <c r="Z778" s="1">
        <v>76.52</v>
      </c>
      <c r="AA778" s="1">
        <v>6.25</v>
      </c>
      <c r="AC778" s="1">
        <v>18.96</v>
      </c>
      <c r="AH778" s="1">
        <v>2.2400000000000002</v>
      </c>
      <c r="AK778" s="1">
        <v>0.40171459999999998</v>
      </c>
      <c r="AL778" s="1">
        <v>0.80529764000000004</v>
      </c>
      <c r="AM778" s="1">
        <v>0.61845364000000003</v>
      </c>
      <c r="AV778" s="1">
        <v>2.17</v>
      </c>
    </row>
    <row r="779" spans="1:81" x14ac:dyDescent="0.2">
      <c r="A779" s="1" t="s">
        <v>4798</v>
      </c>
      <c r="B779" s="1" t="s">
        <v>1912</v>
      </c>
      <c r="C779" s="1" t="s">
        <v>4792</v>
      </c>
      <c r="D779" s="1" t="s">
        <v>2</v>
      </c>
      <c r="E779" s="1">
        <v>41</v>
      </c>
      <c r="F779" s="1" t="s">
        <v>4138</v>
      </c>
      <c r="G779" s="1" t="s">
        <v>4518</v>
      </c>
      <c r="H779" s="1" t="s">
        <v>4799</v>
      </c>
      <c r="I779" s="1" t="s">
        <v>7</v>
      </c>
      <c r="J779" s="1" t="s">
        <v>4140</v>
      </c>
      <c r="K779" s="1" t="s">
        <v>4141</v>
      </c>
      <c r="L779" s="1" t="s">
        <v>4140</v>
      </c>
      <c r="M779" s="1" t="s">
        <v>2571</v>
      </c>
      <c r="N779" s="1" t="s">
        <v>4800</v>
      </c>
      <c r="O779" s="1" t="s">
        <v>4518</v>
      </c>
      <c r="P779" s="1" t="s">
        <v>1270</v>
      </c>
      <c r="Q779" s="1">
        <v>2007</v>
      </c>
      <c r="R779" s="1" t="s">
        <v>4795</v>
      </c>
      <c r="S779" s="1" t="s">
        <v>25</v>
      </c>
      <c r="T779" s="6">
        <v>1</v>
      </c>
      <c r="U779" s="1">
        <v>0.254</v>
      </c>
      <c r="Z779" s="1">
        <v>79.36</v>
      </c>
      <c r="AA779" s="1">
        <v>6.25</v>
      </c>
      <c r="AC779" s="1">
        <v>16.57</v>
      </c>
      <c r="AH779" s="1">
        <v>1.48</v>
      </c>
      <c r="AK779" s="1">
        <v>0.25806488</v>
      </c>
      <c r="AL779" s="1">
        <v>0.39166484000000001</v>
      </c>
      <c r="AM779" s="1">
        <v>0.40650927999999997</v>
      </c>
      <c r="AV779" s="1">
        <v>2.06</v>
      </c>
    </row>
    <row r="780" spans="1:81" x14ac:dyDescent="0.2">
      <c r="A780" s="1" t="s">
        <v>4801</v>
      </c>
      <c r="B780" s="1" t="s">
        <v>57</v>
      </c>
      <c r="C780" s="1" t="s">
        <v>4802</v>
      </c>
      <c r="D780" s="1" t="s">
        <v>2</v>
      </c>
      <c r="E780" s="1">
        <v>54</v>
      </c>
      <c r="F780" s="1" t="s">
        <v>4803</v>
      </c>
      <c r="H780" s="1" t="s">
        <v>4804</v>
      </c>
      <c r="I780" s="1" t="s">
        <v>7</v>
      </c>
      <c r="J780" s="1" t="s">
        <v>4805</v>
      </c>
      <c r="K780" s="1" t="s">
        <v>4806</v>
      </c>
      <c r="L780" s="1" t="s">
        <v>4805</v>
      </c>
      <c r="M780" s="1" t="s">
        <v>2967</v>
      </c>
      <c r="P780" s="1" t="s">
        <v>4807</v>
      </c>
      <c r="Q780" s="1">
        <v>1998</v>
      </c>
      <c r="R780" s="1" t="s">
        <v>4808</v>
      </c>
      <c r="S780" s="1" t="s">
        <v>27</v>
      </c>
      <c r="T780" s="6">
        <v>1</v>
      </c>
      <c r="W780" s="1">
        <v>126</v>
      </c>
      <c r="Z780" s="1" t="s">
        <v>4809</v>
      </c>
      <c r="AC780" s="1">
        <v>21.2</v>
      </c>
      <c r="AH780" s="1">
        <v>3.49</v>
      </c>
      <c r="AR780" s="1">
        <v>2.36</v>
      </c>
      <c r="AV780" s="1">
        <v>2.31</v>
      </c>
    </row>
    <row r="781" spans="1:81" x14ac:dyDescent="0.2">
      <c r="A781" s="1" t="s">
        <v>4810</v>
      </c>
      <c r="B781" s="1" t="s">
        <v>57</v>
      </c>
      <c r="C781" s="1" t="s">
        <v>4802</v>
      </c>
      <c r="D781" s="1" t="s">
        <v>2</v>
      </c>
      <c r="E781" s="1">
        <v>54</v>
      </c>
      <c r="F781" s="1" t="s">
        <v>4803</v>
      </c>
      <c r="H781" s="1" t="s">
        <v>4804</v>
      </c>
      <c r="I781" s="1" t="s">
        <v>7</v>
      </c>
      <c r="J781" s="1" t="s">
        <v>4805</v>
      </c>
      <c r="K781" s="1" t="s">
        <v>4806</v>
      </c>
      <c r="L781" s="1" t="s">
        <v>4805</v>
      </c>
      <c r="M781" s="1" t="s">
        <v>817</v>
      </c>
      <c r="P781" s="1" t="s">
        <v>4807</v>
      </c>
      <c r="Q781" s="1">
        <v>1998</v>
      </c>
      <c r="R781" s="1" t="s">
        <v>4808</v>
      </c>
      <c r="S781" s="1" t="s">
        <v>27</v>
      </c>
      <c r="T781" s="6">
        <v>1</v>
      </c>
      <c r="W781" s="1">
        <v>117</v>
      </c>
      <c r="Z781" s="1" t="s">
        <v>4811</v>
      </c>
      <c r="AC781" s="1">
        <v>19.100000000000001</v>
      </c>
      <c r="AH781" s="1">
        <v>3.36</v>
      </c>
      <c r="AR781" s="1">
        <v>2.67</v>
      </c>
      <c r="AV781" s="1">
        <v>2.2599999999999998</v>
      </c>
    </row>
    <row r="782" spans="1:81" x14ac:dyDescent="0.2">
      <c r="A782" s="1" t="s">
        <v>4812</v>
      </c>
      <c r="B782" s="1" t="s">
        <v>57</v>
      </c>
      <c r="C782" s="1" t="s">
        <v>4802</v>
      </c>
      <c r="D782" s="1" t="s">
        <v>2</v>
      </c>
      <c r="E782" s="1">
        <v>54</v>
      </c>
      <c r="F782" s="1" t="s">
        <v>4803</v>
      </c>
      <c r="H782" s="1" t="s">
        <v>4804</v>
      </c>
      <c r="I782" s="1" t="s">
        <v>7</v>
      </c>
      <c r="J782" s="1" t="s">
        <v>4805</v>
      </c>
      <c r="K782" s="1" t="s">
        <v>4806</v>
      </c>
      <c r="L782" s="1" t="s">
        <v>4805</v>
      </c>
      <c r="M782" s="1" t="s">
        <v>2890</v>
      </c>
      <c r="P782" s="1" t="s">
        <v>4807</v>
      </c>
      <c r="Q782" s="1">
        <v>1998</v>
      </c>
      <c r="R782" s="1" t="s">
        <v>4808</v>
      </c>
      <c r="S782" s="1" t="s">
        <v>27</v>
      </c>
      <c r="T782" s="6">
        <v>1</v>
      </c>
      <c r="W782" s="1">
        <v>124</v>
      </c>
      <c r="Z782" s="1" t="s">
        <v>4813</v>
      </c>
      <c r="AC782" s="1">
        <v>19.399999999999999</v>
      </c>
      <c r="AH782" s="1">
        <v>3.78</v>
      </c>
      <c r="AR782" s="1">
        <v>3.15</v>
      </c>
      <c r="AV782" s="1">
        <v>2.31</v>
      </c>
    </row>
    <row r="783" spans="1:81" x14ac:dyDescent="0.2">
      <c r="A783" s="1" t="s">
        <v>4814</v>
      </c>
      <c r="B783" s="1" t="s">
        <v>57</v>
      </c>
      <c r="C783" s="1" t="s">
        <v>4802</v>
      </c>
      <c r="D783" s="1" t="s">
        <v>2</v>
      </c>
      <c r="E783" s="1">
        <v>54</v>
      </c>
      <c r="F783" s="1" t="s">
        <v>4803</v>
      </c>
      <c r="H783" s="1" t="s">
        <v>4804</v>
      </c>
      <c r="I783" s="1" t="s">
        <v>7</v>
      </c>
      <c r="J783" s="1" t="s">
        <v>4805</v>
      </c>
      <c r="K783" s="1" t="s">
        <v>4806</v>
      </c>
      <c r="L783" s="1" t="s">
        <v>4805</v>
      </c>
      <c r="M783" s="1" t="s">
        <v>4270</v>
      </c>
      <c r="P783" s="1" t="s">
        <v>4807</v>
      </c>
      <c r="Q783" s="1">
        <v>1998</v>
      </c>
      <c r="R783" s="1" t="s">
        <v>4808</v>
      </c>
      <c r="S783" s="1" t="s">
        <v>27</v>
      </c>
      <c r="T783" s="6">
        <v>1</v>
      </c>
      <c r="W783" s="1">
        <v>107</v>
      </c>
      <c r="Z783" s="1" t="s">
        <v>1320</v>
      </c>
      <c r="AC783" s="1">
        <v>19.600000000000001</v>
      </c>
      <c r="AH783" s="1">
        <v>2.56</v>
      </c>
      <c r="AR783" s="1">
        <v>1.38</v>
      </c>
      <c r="AV783" s="1">
        <v>2.36</v>
      </c>
    </row>
    <row r="784" spans="1:81" x14ac:dyDescent="0.2">
      <c r="A784" s="1" t="s">
        <v>4815</v>
      </c>
      <c r="B784" s="1" t="s">
        <v>57</v>
      </c>
      <c r="C784" s="1" t="s">
        <v>4802</v>
      </c>
      <c r="D784" s="1" t="s">
        <v>2</v>
      </c>
      <c r="E784" s="1">
        <v>54</v>
      </c>
      <c r="F784" s="1" t="s">
        <v>4803</v>
      </c>
      <c r="H784" s="1" t="s">
        <v>4804</v>
      </c>
      <c r="I784" s="1" t="s">
        <v>7</v>
      </c>
      <c r="J784" s="1" t="s">
        <v>4805</v>
      </c>
      <c r="K784" s="1" t="s">
        <v>4806</v>
      </c>
      <c r="L784" s="1" t="s">
        <v>4805</v>
      </c>
      <c r="M784" s="1" t="s">
        <v>749</v>
      </c>
      <c r="P784" s="1" t="s">
        <v>4807</v>
      </c>
      <c r="Q784" s="1">
        <v>1998</v>
      </c>
      <c r="R784" s="1" t="s">
        <v>4808</v>
      </c>
      <c r="S784" s="1" t="s">
        <v>27</v>
      </c>
      <c r="T784" s="6">
        <v>1</v>
      </c>
      <c r="W784" s="1">
        <v>110</v>
      </c>
      <c r="Z784" s="1" t="s">
        <v>4816</v>
      </c>
      <c r="AC784" s="1">
        <v>20.5</v>
      </c>
      <c r="AH784" s="1">
        <v>2.69</v>
      </c>
      <c r="AR784" s="1">
        <v>0.9</v>
      </c>
      <c r="AV784" s="1">
        <v>2.66</v>
      </c>
    </row>
    <row r="785" spans="1:165" x14ac:dyDescent="0.2">
      <c r="A785" s="1" t="s">
        <v>4817</v>
      </c>
      <c r="B785" s="1" t="s">
        <v>57</v>
      </c>
      <c r="C785" s="1" t="s">
        <v>4802</v>
      </c>
      <c r="D785" s="1" t="s">
        <v>2</v>
      </c>
      <c r="E785" s="1">
        <v>54</v>
      </c>
      <c r="F785" s="1" t="s">
        <v>4803</v>
      </c>
      <c r="H785" s="1" t="s">
        <v>4804</v>
      </c>
      <c r="I785" s="1" t="s">
        <v>7</v>
      </c>
      <c r="J785" s="1" t="s">
        <v>4805</v>
      </c>
      <c r="K785" s="1" t="s">
        <v>4806</v>
      </c>
      <c r="L785" s="1" t="s">
        <v>4805</v>
      </c>
      <c r="M785" s="1" t="s">
        <v>758</v>
      </c>
      <c r="P785" s="1" t="s">
        <v>4807</v>
      </c>
      <c r="Q785" s="1">
        <v>1998</v>
      </c>
      <c r="R785" s="1" t="s">
        <v>4808</v>
      </c>
      <c r="S785" s="1" t="s">
        <v>27</v>
      </c>
      <c r="T785" s="6">
        <v>1</v>
      </c>
      <c r="W785" s="1">
        <v>118</v>
      </c>
      <c r="Z785" s="1" t="s">
        <v>4818</v>
      </c>
      <c r="AC785" s="1">
        <v>21.6</v>
      </c>
      <c r="AH785" s="1">
        <v>3.11</v>
      </c>
      <c r="AR785" s="1">
        <v>1.04</v>
      </c>
      <c r="AV785" s="1">
        <v>2.4500000000000002</v>
      </c>
    </row>
    <row r="786" spans="1:165" x14ac:dyDescent="0.2">
      <c r="A786" s="1" t="s">
        <v>4819</v>
      </c>
      <c r="B786" s="1" t="s">
        <v>57</v>
      </c>
      <c r="C786" s="1" t="s">
        <v>4802</v>
      </c>
      <c r="D786" s="1" t="s">
        <v>2</v>
      </c>
      <c r="E786" s="1">
        <v>54</v>
      </c>
      <c r="F786" s="1" t="s">
        <v>4803</v>
      </c>
      <c r="H786" s="1" t="s">
        <v>4804</v>
      </c>
      <c r="I786" s="1" t="s">
        <v>7</v>
      </c>
      <c r="J786" s="1" t="s">
        <v>4805</v>
      </c>
      <c r="K786" s="1" t="s">
        <v>4806</v>
      </c>
      <c r="L786" s="1" t="s">
        <v>4805</v>
      </c>
      <c r="M786" s="1" t="s">
        <v>3226</v>
      </c>
      <c r="P786" s="1" t="s">
        <v>4807</v>
      </c>
      <c r="Q786" s="1">
        <v>1998</v>
      </c>
      <c r="R786" s="1" t="s">
        <v>4808</v>
      </c>
      <c r="S786" s="1" t="s">
        <v>27</v>
      </c>
      <c r="T786" s="6">
        <v>1</v>
      </c>
      <c r="W786" s="1">
        <v>111</v>
      </c>
      <c r="Z786" s="1" t="s">
        <v>4820</v>
      </c>
      <c r="AC786" s="1">
        <v>19.7</v>
      </c>
      <c r="AH786" s="1">
        <v>3.18</v>
      </c>
      <c r="AR786" s="1">
        <v>0.9</v>
      </c>
      <c r="AV786" s="1">
        <v>2.74</v>
      </c>
    </row>
    <row r="787" spans="1:165" x14ac:dyDescent="0.2">
      <c r="A787" s="1" t="s">
        <v>4821</v>
      </c>
      <c r="B787" s="1" t="s">
        <v>57</v>
      </c>
      <c r="C787" s="1" t="s">
        <v>4802</v>
      </c>
      <c r="D787" s="1" t="s">
        <v>2</v>
      </c>
      <c r="E787" s="1">
        <v>54</v>
      </c>
      <c r="F787" s="1" t="s">
        <v>4803</v>
      </c>
      <c r="H787" s="1" t="s">
        <v>4804</v>
      </c>
      <c r="I787" s="1" t="s">
        <v>7</v>
      </c>
      <c r="J787" s="1" t="s">
        <v>4805</v>
      </c>
      <c r="K787" s="1" t="s">
        <v>4806</v>
      </c>
      <c r="L787" s="1" t="s">
        <v>4805</v>
      </c>
      <c r="M787" s="1" t="s">
        <v>2974</v>
      </c>
      <c r="P787" s="1" t="s">
        <v>4807</v>
      </c>
      <c r="Q787" s="1">
        <v>1998</v>
      </c>
      <c r="R787" s="1" t="s">
        <v>4808</v>
      </c>
      <c r="S787" s="1" t="s">
        <v>27</v>
      </c>
      <c r="T787" s="6">
        <v>1</v>
      </c>
      <c r="W787" s="1">
        <v>115</v>
      </c>
      <c r="Z787" s="1" t="s">
        <v>4822</v>
      </c>
      <c r="AC787" s="1">
        <v>20.7</v>
      </c>
      <c r="AH787" s="1">
        <v>3.36</v>
      </c>
      <c r="AR787" s="1">
        <v>0.63</v>
      </c>
      <c r="AV787" s="1">
        <v>2.23</v>
      </c>
    </row>
    <row r="788" spans="1:165" x14ac:dyDescent="0.2">
      <c r="A788" s="1" t="s">
        <v>4823</v>
      </c>
      <c r="B788" s="1" t="s">
        <v>57</v>
      </c>
      <c r="C788" s="1" t="s">
        <v>4802</v>
      </c>
      <c r="D788" s="1" t="s">
        <v>2</v>
      </c>
      <c r="E788" s="1">
        <v>54</v>
      </c>
      <c r="F788" s="1" t="s">
        <v>4803</v>
      </c>
      <c r="H788" s="1" t="s">
        <v>4804</v>
      </c>
      <c r="I788" s="1" t="s">
        <v>7</v>
      </c>
      <c r="J788" s="1" t="s">
        <v>4805</v>
      </c>
      <c r="K788" s="1" t="s">
        <v>4806</v>
      </c>
      <c r="L788" s="1" t="s">
        <v>4805</v>
      </c>
      <c r="M788" s="1" t="s">
        <v>1293</v>
      </c>
      <c r="P788" s="1" t="s">
        <v>4807</v>
      </c>
      <c r="Q788" s="1">
        <v>1998</v>
      </c>
      <c r="R788" s="1" t="s">
        <v>4808</v>
      </c>
      <c r="S788" s="1" t="s">
        <v>27</v>
      </c>
      <c r="T788" s="6">
        <v>1</v>
      </c>
      <c r="W788" s="1">
        <v>116</v>
      </c>
      <c r="Z788" s="1" t="s">
        <v>4824</v>
      </c>
      <c r="AC788" s="1">
        <v>20.8</v>
      </c>
      <c r="AH788" s="1">
        <v>3.35</v>
      </c>
      <c r="AR788" s="1">
        <v>0.81</v>
      </c>
      <c r="AV788" s="1">
        <v>2.7</v>
      </c>
    </row>
    <row r="789" spans="1:165" x14ac:dyDescent="0.2">
      <c r="A789" s="1" t="s">
        <v>4825</v>
      </c>
      <c r="B789" s="1" t="s">
        <v>57</v>
      </c>
      <c r="C789" s="1" t="s">
        <v>4802</v>
      </c>
      <c r="D789" s="1" t="s">
        <v>2</v>
      </c>
      <c r="E789" s="1">
        <v>54</v>
      </c>
      <c r="F789" s="1" t="s">
        <v>4803</v>
      </c>
      <c r="H789" s="1" t="s">
        <v>4804</v>
      </c>
      <c r="I789" s="1" t="s">
        <v>7</v>
      </c>
      <c r="J789" s="1" t="s">
        <v>4805</v>
      </c>
      <c r="K789" s="1" t="s">
        <v>4806</v>
      </c>
      <c r="L789" s="1" t="s">
        <v>4805</v>
      </c>
      <c r="M789" s="1" t="s">
        <v>481</v>
      </c>
      <c r="P789" s="1" t="s">
        <v>4807</v>
      </c>
      <c r="Q789" s="1">
        <v>1998</v>
      </c>
      <c r="R789" s="1" t="s">
        <v>4808</v>
      </c>
      <c r="S789" s="1" t="s">
        <v>27</v>
      </c>
      <c r="T789" s="6">
        <v>1</v>
      </c>
      <c r="W789" s="1">
        <v>126</v>
      </c>
      <c r="Z789" s="1" t="s">
        <v>4826</v>
      </c>
      <c r="AC789" s="1">
        <v>21.9</v>
      </c>
      <c r="AH789" s="1">
        <v>3.58</v>
      </c>
      <c r="AR789" s="1">
        <v>1.42</v>
      </c>
      <c r="AV789" s="1">
        <v>2.29</v>
      </c>
    </row>
    <row r="790" spans="1:165" x14ac:dyDescent="0.2">
      <c r="A790" s="1" t="s">
        <v>4827</v>
      </c>
      <c r="B790" s="1" t="s">
        <v>57</v>
      </c>
      <c r="C790" s="1" t="s">
        <v>4802</v>
      </c>
      <c r="D790" s="1" t="s">
        <v>2</v>
      </c>
      <c r="E790" s="1">
        <v>54</v>
      </c>
      <c r="F790" s="1" t="s">
        <v>4803</v>
      </c>
      <c r="H790" s="1" t="s">
        <v>4804</v>
      </c>
      <c r="I790" s="1" t="s">
        <v>7</v>
      </c>
      <c r="J790" s="1" t="s">
        <v>4805</v>
      </c>
      <c r="K790" s="1" t="s">
        <v>4806</v>
      </c>
      <c r="L790" s="1" t="s">
        <v>4805</v>
      </c>
      <c r="M790" s="1" t="s">
        <v>1284</v>
      </c>
      <c r="P790" s="1" t="s">
        <v>4807</v>
      </c>
      <c r="Q790" s="1">
        <v>1998</v>
      </c>
      <c r="R790" s="1" t="s">
        <v>4808</v>
      </c>
      <c r="S790" s="1" t="s">
        <v>27</v>
      </c>
      <c r="T790" s="6">
        <v>1</v>
      </c>
      <c r="W790" s="1">
        <v>114</v>
      </c>
      <c r="Z790" s="1" t="s">
        <v>4828</v>
      </c>
      <c r="AC790" s="1">
        <v>19.899999999999999</v>
      </c>
      <c r="AH790" s="1">
        <v>2.7</v>
      </c>
      <c r="AR790" s="1">
        <v>2.52</v>
      </c>
      <c r="AV790" s="1">
        <v>2.6</v>
      </c>
    </row>
    <row r="791" spans="1:165" x14ac:dyDescent="0.2">
      <c r="A791" s="1" t="s">
        <v>4829</v>
      </c>
      <c r="B791" s="1" t="s">
        <v>57</v>
      </c>
      <c r="C791" s="1" t="s">
        <v>4802</v>
      </c>
      <c r="D791" s="1" t="s">
        <v>2</v>
      </c>
      <c r="E791" s="1">
        <v>54</v>
      </c>
      <c r="F791" s="1" t="s">
        <v>4803</v>
      </c>
      <c r="H791" s="1" t="s">
        <v>4804</v>
      </c>
      <c r="I791" s="1" t="s">
        <v>7</v>
      </c>
      <c r="J791" s="1" t="s">
        <v>4805</v>
      </c>
      <c r="K791" s="1" t="s">
        <v>4806</v>
      </c>
      <c r="L791" s="1" t="s">
        <v>4805</v>
      </c>
      <c r="M791" s="1" t="s">
        <v>3316</v>
      </c>
      <c r="P791" s="1" t="s">
        <v>4807</v>
      </c>
      <c r="Q791" s="1">
        <v>1998</v>
      </c>
      <c r="R791" s="1" t="s">
        <v>4808</v>
      </c>
      <c r="S791" s="1" t="s">
        <v>27</v>
      </c>
      <c r="T791" s="6">
        <v>1</v>
      </c>
      <c r="W791" s="1">
        <v>131</v>
      </c>
      <c r="Z791" s="1" t="s">
        <v>4830</v>
      </c>
      <c r="AC791" s="1">
        <v>21.9</v>
      </c>
      <c r="AH791" s="1">
        <v>3.69</v>
      </c>
      <c r="AR791" s="1">
        <v>2.62</v>
      </c>
      <c r="AV791" s="1">
        <v>2.16</v>
      </c>
    </row>
    <row r="792" spans="1:165" x14ac:dyDescent="0.2">
      <c r="A792" s="1" t="s">
        <v>4831</v>
      </c>
      <c r="B792" s="1" t="s">
        <v>57</v>
      </c>
      <c r="C792" s="1" t="s">
        <v>4832</v>
      </c>
      <c r="E792" s="1">
        <v>56</v>
      </c>
      <c r="F792" s="1" t="s">
        <v>3849</v>
      </c>
      <c r="H792" s="1" t="s">
        <v>4833</v>
      </c>
      <c r="I792" s="1" t="s">
        <v>7</v>
      </c>
      <c r="J792" s="1" t="s">
        <v>4834</v>
      </c>
      <c r="K792" s="1" t="s">
        <v>3852</v>
      </c>
      <c r="L792" s="1" t="s">
        <v>4835</v>
      </c>
      <c r="P792" s="1" t="s">
        <v>4836</v>
      </c>
      <c r="Q792" s="1">
        <v>1987</v>
      </c>
      <c r="R792" s="1" t="s">
        <v>4837</v>
      </c>
      <c r="S792" s="1" t="s">
        <v>27</v>
      </c>
      <c r="T792" s="6">
        <v>1</v>
      </c>
      <c r="Z792" s="1">
        <v>81.5</v>
      </c>
      <c r="AA792" s="1">
        <v>6.25</v>
      </c>
      <c r="AC792" s="1">
        <v>11.285</v>
      </c>
      <c r="AJ792" s="1">
        <v>3.6629999999999998</v>
      </c>
      <c r="AQ792" s="1">
        <v>0.25900000000000001</v>
      </c>
      <c r="AU792" s="1">
        <v>7.3999999999999996E-2</v>
      </c>
      <c r="AV792" s="1">
        <v>3.2189999999999999</v>
      </c>
      <c r="BD792" s="1">
        <v>0.17760000000000001</v>
      </c>
      <c r="BF792" s="1">
        <v>4.9950000000000001</v>
      </c>
      <c r="BH792" s="1">
        <v>8.51</v>
      </c>
      <c r="BJ792" s="1">
        <v>10.73</v>
      </c>
      <c r="BK792" s="1">
        <v>0.65</v>
      </c>
      <c r="BM792" s="1">
        <v>6.1050000000000004</v>
      </c>
      <c r="BW792" s="1">
        <v>1.1895500000000001</v>
      </c>
      <c r="DU792" s="1">
        <v>512.45000000000005</v>
      </c>
      <c r="DV792" s="1">
        <v>458.8</v>
      </c>
      <c r="DX792" s="1">
        <v>623.45000000000005</v>
      </c>
      <c r="EA792" s="1">
        <v>1476.3</v>
      </c>
      <c r="EB792" s="1">
        <v>209.05</v>
      </c>
      <c r="EC792" s="1">
        <v>949.05</v>
      </c>
      <c r="EF792" s="1">
        <v>468.05</v>
      </c>
      <c r="EG792" s="1">
        <v>937.95</v>
      </c>
      <c r="EH792" s="1">
        <v>962</v>
      </c>
      <c r="EI792" s="1">
        <v>231.25</v>
      </c>
      <c r="EK792" s="1">
        <v>386.65</v>
      </c>
      <c r="EL792" s="1" t="s">
        <v>15</v>
      </c>
      <c r="EM792" s="1">
        <v>451.4</v>
      </c>
      <c r="EO792" s="1">
        <v>682.65</v>
      </c>
      <c r="EQ792" s="1">
        <v>329.3</v>
      </c>
      <c r="ER792" s="1">
        <v>370</v>
      </c>
    </row>
    <row r="793" spans="1:165" x14ac:dyDescent="0.2">
      <c r="A793" s="1" t="s">
        <v>4838</v>
      </c>
      <c r="B793" s="1" t="s">
        <v>57</v>
      </c>
      <c r="C793" s="1" t="s">
        <v>4839</v>
      </c>
      <c r="D793" s="1" t="s">
        <v>2</v>
      </c>
      <c r="E793" s="1">
        <v>53</v>
      </c>
      <c r="F793" s="1" t="s">
        <v>3879</v>
      </c>
      <c r="H793" s="1" t="s">
        <v>4840</v>
      </c>
      <c r="I793" s="1" t="s">
        <v>7</v>
      </c>
      <c r="J793" s="1" t="s">
        <v>3881</v>
      </c>
      <c r="K793" s="1" t="s">
        <v>3882</v>
      </c>
      <c r="L793" s="1" t="s">
        <v>3881</v>
      </c>
      <c r="M793" s="1" t="s">
        <v>3013</v>
      </c>
      <c r="O793" s="1">
        <v>3</v>
      </c>
      <c r="P793" s="1" t="s">
        <v>2930</v>
      </c>
      <c r="Q793" s="1">
        <v>2004</v>
      </c>
      <c r="R793" s="1" t="s">
        <v>4841</v>
      </c>
      <c r="S793" s="1" t="s">
        <v>27</v>
      </c>
      <c r="T793" s="6">
        <v>1</v>
      </c>
      <c r="Z793" s="1">
        <v>86.68</v>
      </c>
      <c r="AE793" s="1">
        <v>7.66</v>
      </c>
      <c r="AG793" s="1">
        <v>300</v>
      </c>
      <c r="AH793" s="1">
        <v>0.88</v>
      </c>
      <c r="AK793" s="1">
        <v>0.21020543999999999</v>
      </c>
      <c r="AL793" s="1">
        <v>7.4267135999999997E-2</v>
      </c>
      <c r="AM793" s="1">
        <v>0.233597952</v>
      </c>
      <c r="AS793" s="1">
        <v>0.63</v>
      </c>
      <c r="AV793" s="1">
        <v>2.65</v>
      </c>
      <c r="AY793" s="1">
        <v>168</v>
      </c>
      <c r="BA793" s="1">
        <v>6</v>
      </c>
      <c r="BB793" s="1">
        <v>14</v>
      </c>
      <c r="BF793" s="1">
        <v>1.9219999999999999</v>
      </c>
      <c r="BH793" s="1">
        <v>179</v>
      </c>
      <c r="BJ793" s="1">
        <v>100</v>
      </c>
      <c r="BM793" s="1">
        <v>279</v>
      </c>
      <c r="BS793" s="1">
        <v>46</v>
      </c>
      <c r="BW793" s="1">
        <v>1.9E-2</v>
      </c>
      <c r="CL793" s="1">
        <v>5.25</v>
      </c>
      <c r="CM793" s="1">
        <v>3.92</v>
      </c>
      <c r="CT793" s="1" t="s">
        <v>4690</v>
      </c>
      <c r="CV793" s="1">
        <v>0.19</v>
      </c>
      <c r="EW793" s="1">
        <v>21.05</v>
      </c>
      <c r="FI793" s="1">
        <v>3.19</v>
      </c>
    </row>
    <row r="794" spans="1:165" x14ac:dyDescent="0.2">
      <c r="A794" s="1" t="s">
        <v>4842</v>
      </c>
      <c r="B794" s="1" t="s">
        <v>57</v>
      </c>
      <c r="C794" s="1" t="s">
        <v>4839</v>
      </c>
      <c r="D794" s="1" t="s">
        <v>2</v>
      </c>
      <c r="E794" s="1">
        <v>53</v>
      </c>
      <c r="F794" s="1" t="s">
        <v>3879</v>
      </c>
      <c r="H794" s="1" t="s">
        <v>4840</v>
      </c>
      <c r="I794" s="1" t="s">
        <v>7</v>
      </c>
      <c r="J794" s="1" t="s">
        <v>3881</v>
      </c>
      <c r="K794" s="1" t="s">
        <v>3882</v>
      </c>
      <c r="L794" s="1" t="s">
        <v>3881</v>
      </c>
      <c r="M794" s="1" t="s">
        <v>4843</v>
      </c>
      <c r="O794" s="1">
        <v>3</v>
      </c>
      <c r="P794" s="1" t="s">
        <v>2930</v>
      </c>
      <c r="Q794" s="1">
        <v>2004</v>
      </c>
      <c r="R794" s="1" t="s">
        <v>4841</v>
      </c>
      <c r="S794" s="1" t="s">
        <v>27</v>
      </c>
      <c r="T794" s="6">
        <v>1</v>
      </c>
      <c r="Z794" s="1">
        <v>93.88</v>
      </c>
      <c r="AE794" s="1">
        <v>2.39</v>
      </c>
      <c r="AG794" s="1">
        <v>110</v>
      </c>
      <c r="AH794" s="1">
        <v>0.3</v>
      </c>
      <c r="AK794" s="1">
        <v>3.82421493E-2</v>
      </c>
      <c r="AL794" s="1">
        <v>2.6497510200000001E-2</v>
      </c>
      <c r="AM794" s="1">
        <v>5.4348724799999998E-2</v>
      </c>
      <c r="AS794" s="1">
        <v>7.0000000000000007E-2</v>
      </c>
      <c r="AV794" s="1">
        <v>2.63</v>
      </c>
      <c r="AY794" s="1">
        <v>161</v>
      </c>
      <c r="BA794" s="1">
        <v>3</v>
      </c>
      <c r="BB794" s="1">
        <v>7</v>
      </c>
      <c r="BF794" s="1">
        <v>1.1259999999999999</v>
      </c>
      <c r="BH794" s="1">
        <v>77</v>
      </c>
      <c r="BJ794" s="1">
        <v>109</v>
      </c>
      <c r="BM794" s="1">
        <v>768</v>
      </c>
      <c r="BS794" s="1">
        <v>18</v>
      </c>
      <c r="BW794" s="1">
        <v>1.2E-2</v>
      </c>
      <c r="CL794" s="1">
        <v>2.13</v>
      </c>
      <c r="CM794" s="1">
        <v>4.79</v>
      </c>
      <c r="CT794" s="1" t="s">
        <v>4844</v>
      </c>
      <c r="CV794" s="1">
        <v>0.05</v>
      </c>
      <c r="EW794" s="1">
        <v>8.5500000000000007</v>
      </c>
      <c r="FI794" s="1">
        <v>1.39</v>
      </c>
    </row>
    <row r="795" spans="1:165" x14ac:dyDescent="0.2">
      <c r="A795" s="1" t="s">
        <v>4845</v>
      </c>
      <c r="B795" s="1" t="s">
        <v>57</v>
      </c>
      <c r="C795" s="1" t="s">
        <v>4839</v>
      </c>
      <c r="D795" s="1" t="s">
        <v>2</v>
      </c>
      <c r="E795" s="1">
        <v>53</v>
      </c>
      <c r="F795" s="1" t="s">
        <v>3879</v>
      </c>
      <c r="H795" s="1" t="s">
        <v>4840</v>
      </c>
      <c r="I795" s="1" t="s">
        <v>7</v>
      </c>
      <c r="J795" s="1" t="s">
        <v>3881</v>
      </c>
      <c r="K795" s="1" t="s">
        <v>3882</v>
      </c>
      <c r="L795" s="1" t="s">
        <v>3881</v>
      </c>
      <c r="M795" s="1" t="s">
        <v>4846</v>
      </c>
      <c r="O795" s="1">
        <v>3</v>
      </c>
      <c r="P795" s="1" t="s">
        <v>2930</v>
      </c>
      <c r="Q795" s="1">
        <v>2004</v>
      </c>
      <c r="R795" s="1" t="s">
        <v>4841</v>
      </c>
      <c r="S795" s="1" t="s">
        <v>27</v>
      </c>
      <c r="T795" s="6">
        <v>1</v>
      </c>
      <c r="Z795" s="1">
        <v>89.72</v>
      </c>
      <c r="AE795" s="1">
        <v>4.92</v>
      </c>
      <c r="AG795" s="1">
        <v>230</v>
      </c>
      <c r="AH795" s="1">
        <v>0.66</v>
      </c>
      <c r="AK795" s="1">
        <v>9.613352E-2</v>
      </c>
      <c r="AL795" s="1">
        <v>5.5368887999999998E-2</v>
      </c>
      <c r="AM795" s="1">
        <v>0.16674308800000001</v>
      </c>
      <c r="AS795" s="1">
        <v>1.1499999999999999</v>
      </c>
      <c r="AV795" s="1">
        <v>2.25</v>
      </c>
      <c r="AY795" s="1">
        <v>195</v>
      </c>
      <c r="BA795" s="1">
        <v>3</v>
      </c>
      <c r="BB795" s="1">
        <v>6</v>
      </c>
      <c r="BF795" s="1">
        <v>1.1930000000000001</v>
      </c>
      <c r="BH795" s="1">
        <v>153</v>
      </c>
      <c r="BJ795" s="1">
        <v>80</v>
      </c>
      <c r="BM795" s="1">
        <v>234</v>
      </c>
      <c r="BS795" s="1">
        <v>35</v>
      </c>
      <c r="BW795" s="1">
        <v>1.2E-2</v>
      </c>
      <c r="CL795" s="1">
        <v>2.34</v>
      </c>
      <c r="CM795" s="1">
        <v>4.45</v>
      </c>
      <c r="CT795" s="1" t="s">
        <v>4847</v>
      </c>
      <c r="CV795" s="1">
        <v>0.25</v>
      </c>
      <c r="EW795" s="1">
        <v>16.809999999999999</v>
      </c>
      <c r="FI795" s="1">
        <v>2.2200000000000002</v>
      </c>
    </row>
    <row r="796" spans="1:165" x14ac:dyDescent="0.2">
      <c r="A796" s="1" t="s">
        <v>4848</v>
      </c>
      <c r="B796" s="1" t="s">
        <v>57</v>
      </c>
      <c r="C796" s="1" t="s">
        <v>4839</v>
      </c>
      <c r="D796" s="1" t="s">
        <v>2</v>
      </c>
      <c r="E796" s="1">
        <v>53</v>
      </c>
      <c r="F796" s="1" t="s">
        <v>3879</v>
      </c>
      <c r="H796" s="1" t="s">
        <v>4840</v>
      </c>
      <c r="I796" s="1" t="s">
        <v>7</v>
      </c>
      <c r="J796" s="1" t="s">
        <v>3881</v>
      </c>
      <c r="K796" s="1" t="s">
        <v>3882</v>
      </c>
      <c r="L796" s="1" t="s">
        <v>3881</v>
      </c>
      <c r="M796" s="1" t="s">
        <v>4157</v>
      </c>
      <c r="O796" s="1">
        <v>3</v>
      </c>
      <c r="P796" s="1" t="s">
        <v>2930</v>
      </c>
      <c r="Q796" s="1">
        <v>2004</v>
      </c>
      <c r="R796" s="1" t="s">
        <v>4841</v>
      </c>
      <c r="S796" s="1" t="s">
        <v>27</v>
      </c>
      <c r="T796" s="6">
        <v>1</v>
      </c>
      <c r="Z796" s="1">
        <v>88.67</v>
      </c>
      <c r="AE796" s="1">
        <v>6.11</v>
      </c>
      <c r="AG796" s="1">
        <v>240</v>
      </c>
      <c r="AH796" s="1">
        <v>0.72</v>
      </c>
      <c r="AK796" s="1">
        <v>0.152769408</v>
      </c>
      <c r="AL796" s="1">
        <v>5.0099263999999998E-2</v>
      </c>
      <c r="AM796" s="1">
        <v>0.16991379200000001</v>
      </c>
      <c r="AS796" s="1">
        <v>0.46</v>
      </c>
      <c r="AV796" s="1">
        <v>2.95</v>
      </c>
      <c r="AY796" s="1">
        <v>148</v>
      </c>
      <c r="BA796" s="1">
        <v>7</v>
      </c>
      <c r="BB796" s="1">
        <v>18</v>
      </c>
      <c r="BF796" s="1">
        <v>1.849</v>
      </c>
      <c r="BH796" s="1">
        <v>158</v>
      </c>
      <c r="BJ796" s="1">
        <v>113</v>
      </c>
      <c r="BM796" s="1">
        <v>369</v>
      </c>
      <c r="BS796" s="1">
        <v>34</v>
      </c>
      <c r="BW796" s="1">
        <v>1.4999999999999999E-2</v>
      </c>
      <c r="CL796" s="1">
        <v>0.61</v>
      </c>
      <c r="CM796" s="1">
        <v>2.4900000000000002</v>
      </c>
      <c r="CT796" s="1" t="s">
        <v>4849</v>
      </c>
      <c r="CV796" s="1">
        <v>0.18</v>
      </c>
      <c r="EW796" s="1">
        <v>19.5</v>
      </c>
      <c r="FI796" s="1">
        <v>3.15</v>
      </c>
    </row>
    <row r="797" spans="1:165" x14ac:dyDescent="0.2">
      <c r="A797" s="1" t="s">
        <v>4850</v>
      </c>
      <c r="B797" s="1" t="s">
        <v>57</v>
      </c>
      <c r="C797" s="1" t="s">
        <v>4839</v>
      </c>
      <c r="D797" s="1" t="s">
        <v>2</v>
      </c>
      <c r="E797" s="1">
        <v>53</v>
      </c>
      <c r="F797" s="1" t="s">
        <v>3879</v>
      </c>
      <c r="H797" s="1" t="s">
        <v>4840</v>
      </c>
      <c r="I797" s="1" t="s">
        <v>7</v>
      </c>
      <c r="J797" s="1" t="s">
        <v>3881</v>
      </c>
      <c r="K797" s="1" t="s">
        <v>3882</v>
      </c>
      <c r="L797" s="1" t="s">
        <v>3881</v>
      </c>
      <c r="M797" s="1" t="s">
        <v>2582</v>
      </c>
      <c r="O797" s="1">
        <v>3</v>
      </c>
      <c r="P797" s="1" t="s">
        <v>2930</v>
      </c>
      <c r="Q797" s="1">
        <v>2004</v>
      </c>
      <c r="R797" s="1" t="s">
        <v>4841</v>
      </c>
      <c r="S797" s="1" t="s">
        <v>27</v>
      </c>
      <c r="T797" s="6">
        <v>1</v>
      </c>
      <c r="Z797" s="1">
        <v>90.96</v>
      </c>
      <c r="AE797" s="1">
        <v>4.04</v>
      </c>
      <c r="AG797" s="1">
        <v>180</v>
      </c>
      <c r="AH797" s="1">
        <v>0.44</v>
      </c>
      <c r="AK797" s="1">
        <v>6.4802331000000005E-2</v>
      </c>
      <c r="AL797" s="1">
        <v>2.864171112E-2</v>
      </c>
      <c r="AM797" s="1">
        <v>8.1218921520000001E-2</v>
      </c>
      <c r="AS797" s="1">
        <v>0.57999999999999996</v>
      </c>
      <c r="AV797" s="1">
        <v>2.82</v>
      </c>
      <c r="AY797" s="1">
        <v>240</v>
      </c>
      <c r="BA797" s="1">
        <v>4</v>
      </c>
      <c r="BB797" s="1">
        <v>11</v>
      </c>
      <c r="BF797" s="1">
        <v>1.722</v>
      </c>
      <c r="BH797" s="1">
        <v>119</v>
      </c>
      <c r="BJ797" s="1">
        <v>116</v>
      </c>
      <c r="BM797" s="1">
        <v>372</v>
      </c>
      <c r="BS797" s="1">
        <v>30</v>
      </c>
      <c r="BW797" s="1">
        <v>1.2999999999999999E-2</v>
      </c>
      <c r="CL797" s="1">
        <v>0.77</v>
      </c>
      <c r="CM797" s="1">
        <v>1.84</v>
      </c>
      <c r="CT797" s="1" t="s">
        <v>1241</v>
      </c>
      <c r="CV797" s="1">
        <v>7.0000000000000007E-2</v>
      </c>
      <c r="EW797" s="1">
        <v>14.93</v>
      </c>
      <c r="FI797" s="1">
        <v>2.19</v>
      </c>
    </row>
    <row r="798" spans="1:165" x14ac:dyDescent="0.2">
      <c r="A798" s="1" t="s">
        <v>4851</v>
      </c>
      <c r="B798" s="1" t="s">
        <v>57</v>
      </c>
      <c r="C798" s="1" t="s">
        <v>4852</v>
      </c>
      <c r="D798" s="1" t="s">
        <v>2</v>
      </c>
      <c r="E798" s="1">
        <v>55</v>
      </c>
      <c r="F798" s="1" t="s">
        <v>4328</v>
      </c>
      <c r="H798" s="1" t="s">
        <v>4853</v>
      </c>
      <c r="I798" s="1" t="s">
        <v>7</v>
      </c>
      <c r="J798" s="1" t="s">
        <v>4854</v>
      </c>
      <c r="K798" s="1" t="s">
        <v>4331</v>
      </c>
      <c r="L798" s="1" t="s">
        <v>4332</v>
      </c>
      <c r="M798" s="1" t="s">
        <v>4855</v>
      </c>
      <c r="O798" s="1">
        <v>3</v>
      </c>
      <c r="P798" s="1" t="s">
        <v>4856</v>
      </c>
      <c r="Q798" s="1">
        <v>2006</v>
      </c>
      <c r="R798" s="1" t="s">
        <v>4857</v>
      </c>
      <c r="S798" s="1" t="s">
        <v>27</v>
      </c>
      <c r="T798" s="6">
        <v>1</v>
      </c>
      <c r="Z798" s="1">
        <v>80.7</v>
      </c>
      <c r="AE798" s="1">
        <v>15.7</v>
      </c>
      <c r="AJ798" s="1">
        <v>0.48</v>
      </c>
      <c r="AQ798" s="1">
        <v>1.8</v>
      </c>
      <c r="AS798" s="1">
        <v>0.79</v>
      </c>
      <c r="AV798" s="1">
        <v>1.3</v>
      </c>
    </row>
    <row r="799" spans="1:165" x14ac:dyDescent="0.2">
      <c r="A799" s="1" t="s">
        <v>4858</v>
      </c>
      <c r="B799" s="1" t="s">
        <v>57</v>
      </c>
      <c r="C799" s="1" t="s">
        <v>4852</v>
      </c>
      <c r="D799" s="1" t="s">
        <v>2</v>
      </c>
      <c r="E799" s="1">
        <v>55</v>
      </c>
      <c r="F799" s="1" t="s">
        <v>4328</v>
      </c>
      <c r="H799" s="1" t="s">
        <v>4853</v>
      </c>
      <c r="I799" s="1" t="s">
        <v>7</v>
      </c>
      <c r="J799" s="1" t="s">
        <v>4854</v>
      </c>
      <c r="K799" s="1" t="s">
        <v>4331</v>
      </c>
      <c r="L799" s="1" t="s">
        <v>4332</v>
      </c>
      <c r="M799" s="1" t="s">
        <v>4859</v>
      </c>
      <c r="O799" s="1">
        <v>3</v>
      </c>
      <c r="P799" s="1" t="s">
        <v>4856</v>
      </c>
      <c r="Q799" s="1">
        <v>2006</v>
      </c>
      <c r="R799" s="1" t="s">
        <v>4857</v>
      </c>
      <c r="S799" s="1" t="s">
        <v>27</v>
      </c>
      <c r="T799" s="6">
        <v>1</v>
      </c>
      <c r="Z799" s="1">
        <v>78.2</v>
      </c>
      <c r="AE799" s="1">
        <v>15.9</v>
      </c>
      <c r="AJ799" s="1">
        <v>0.5</v>
      </c>
      <c r="AQ799" s="1">
        <v>4</v>
      </c>
      <c r="AS799" s="1">
        <v>3.51</v>
      </c>
      <c r="AV799" s="1">
        <v>1.3</v>
      </c>
    </row>
    <row r="800" spans="1:165" x14ac:dyDescent="0.2">
      <c r="A800" s="1" t="s">
        <v>4860</v>
      </c>
      <c r="B800" s="1" t="s">
        <v>57</v>
      </c>
      <c r="C800" s="1" t="s">
        <v>4852</v>
      </c>
      <c r="D800" s="1" t="s">
        <v>2</v>
      </c>
      <c r="E800" s="1">
        <v>55</v>
      </c>
      <c r="F800" s="1" t="s">
        <v>4328</v>
      </c>
      <c r="H800" s="1" t="s">
        <v>4853</v>
      </c>
      <c r="I800" s="1" t="s">
        <v>7</v>
      </c>
      <c r="J800" s="1" t="s">
        <v>4854</v>
      </c>
      <c r="K800" s="1" t="s">
        <v>4331</v>
      </c>
      <c r="L800" s="1" t="s">
        <v>4332</v>
      </c>
      <c r="M800" s="1" t="s">
        <v>4861</v>
      </c>
      <c r="O800" s="1">
        <v>3</v>
      </c>
      <c r="P800" s="1" t="s">
        <v>4856</v>
      </c>
      <c r="Q800" s="1">
        <v>2006</v>
      </c>
      <c r="R800" s="1" t="s">
        <v>4857</v>
      </c>
      <c r="S800" s="1" t="s">
        <v>27</v>
      </c>
      <c r="T800" s="6">
        <v>1</v>
      </c>
      <c r="Z800" s="1">
        <v>72.5</v>
      </c>
      <c r="AE800" s="1">
        <v>15.1</v>
      </c>
      <c r="AJ800" s="1">
        <v>0.36</v>
      </c>
      <c r="AQ800" s="1">
        <v>10.5</v>
      </c>
      <c r="AS800" s="1">
        <v>7.87</v>
      </c>
      <c r="AV800" s="1">
        <v>1.5</v>
      </c>
    </row>
    <row r="801" spans="1:117" x14ac:dyDescent="0.2">
      <c r="A801" s="1" t="s">
        <v>4862</v>
      </c>
      <c r="B801" s="1" t="s">
        <v>57</v>
      </c>
      <c r="C801" s="1" t="s">
        <v>4852</v>
      </c>
      <c r="D801" s="1" t="s">
        <v>2</v>
      </c>
      <c r="E801" s="1">
        <v>55</v>
      </c>
      <c r="F801" s="1" t="s">
        <v>4328</v>
      </c>
      <c r="H801" s="1" t="s">
        <v>4853</v>
      </c>
      <c r="I801" s="1" t="s">
        <v>7</v>
      </c>
      <c r="J801" s="1" t="s">
        <v>4854</v>
      </c>
      <c r="K801" s="1" t="s">
        <v>4331</v>
      </c>
      <c r="L801" s="1" t="s">
        <v>4332</v>
      </c>
      <c r="M801" s="1" t="s">
        <v>4863</v>
      </c>
      <c r="O801" s="1">
        <v>3</v>
      </c>
      <c r="P801" s="1" t="s">
        <v>4856</v>
      </c>
      <c r="Q801" s="1">
        <v>2006</v>
      </c>
      <c r="R801" s="1" t="s">
        <v>4857</v>
      </c>
      <c r="S801" s="1" t="s">
        <v>27</v>
      </c>
      <c r="T801" s="6">
        <v>1</v>
      </c>
      <c r="Z801" s="1">
        <v>78</v>
      </c>
      <c r="AE801" s="1">
        <v>17.3</v>
      </c>
      <c r="AJ801" s="1">
        <v>0.63</v>
      </c>
      <c r="AQ801" s="1">
        <v>2.4</v>
      </c>
      <c r="AS801" s="1">
        <v>2.21</v>
      </c>
      <c r="AV801" s="1">
        <v>1.5</v>
      </c>
    </row>
    <row r="802" spans="1:117" x14ac:dyDescent="0.2">
      <c r="A802" s="1" t="s">
        <v>4864</v>
      </c>
      <c r="B802" s="1" t="s">
        <v>55</v>
      </c>
      <c r="C802" s="1" t="s">
        <v>4865</v>
      </c>
      <c r="D802" s="1" t="s">
        <v>2</v>
      </c>
      <c r="E802" s="1">
        <v>13</v>
      </c>
      <c r="F802" s="1" t="s">
        <v>1266</v>
      </c>
      <c r="H802" s="1" t="s">
        <v>4866</v>
      </c>
      <c r="I802" s="1" t="s">
        <v>7</v>
      </c>
      <c r="J802" s="1" t="s">
        <v>1268</v>
      </c>
      <c r="K802" s="1" t="s">
        <v>1269</v>
      </c>
      <c r="L802" s="1" t="s">
        <v>1268</v>
      </c>
      <c r="M802" s="1" t="s">
        <v>4867</v>
      </c>
      <c r="O802" s="1">
        <v>1</v>
      </c>
      <c r="P802" s="1" t="s">
        <v>4868</v>
      </c>
      <c r="Q802" s="1">
        <v>2004</v>
      </c>
      <c r="R802" s="1" t="s">
        <v>4869</v>
      </c>
      <c r="S802" s="1" t="s">
        <v>23</v>
      </c>
      <c r="T802" s="6">
        <v>1</v>
      </c>
      <c r="Z802" s="1">
        <v>68.599999999999994</v>
      </c>
      <c r="AE802" s="1">
        <v>17.5</v>
      </c>
      <c r="AJ802" s="1">
        <v>12.5</v>
      </c>
    </row>
    <row r="803" spans="1:117" x14ac:dyDescent="0.2">
      <c r="A803" s="1" t="s">
        <v>4870</v>
      </c>
      <c r="B803" s="1" t="s">
        <v>55</v>
      </c>
      <c r="C803" s="1" t="s">
        <v>4871</v>
      </c>
      <c r="D803" s="1" t="s">
        <v>2</v>
      </c>
      <c r="E803" s="1">
        <v>13</v>
      </c>
      <c r="F803" s="1" t="s">
        <v>1266</v>
      </c>
      <c r="H803" s="1" t="s">
        <v>4872</v>
      </c>
      <c r="I803" s="1" t="s">
        <v>7</v>
      </c>
      <c r="J803" s="1" t="s">
        <v>1268</v>
      </c>
      <c r="K803" s="1" t="s">
        <v>1269</v>
      </c>
      <c r="L803" s="1" t="s">
        <v>1268</v>
      </c>
      <c r="M803" s="1" t="s">
        <v>4873</v>
      </c>
      <c r="O803" s="1">
        <v>1</v>
      </c>
      <c r="P803" s="1" t="s">
        <v>4868</v>
      </c>
      <c r="Q803" s="1">
        <v>2004</v>
      </c>
      <c r="R803" s="1" t="s">
        <v>4869</v>
      </c>
      <c r="S803" s="1" t="s">
        <v>23</v>
      </c>
      <c r="T803" s="6">
        <v>1</v>
      </c>
      <c r="Z803" s="1">
        <v>74.2</v>
      </c>
      <c r="AE803" s="1">
        <v>14.9</v>
      </c>
      <c r="AJ803" s="1">
        <v>9.3000000000000007</v>
      </c>
    </row>
    <row r="804" spans="1:117" x14ac:dyDescent="0.2">
      <c r="A804" s="1" t="s">
        <v>4874</v>
      </c>
      <c r="B804" s="1" t="s">
        <v>55</v>
      </c>
      <c r="C804" s="1" t="s">
        <v>4871</v>
      </c>
      <c r="D804" s="1" t="s">
        <v>2</v>
      </c>
      <c r="E804" s="1">
        <v>13</v>
      </c>
      <c r="F804" s="1" t="s">
        <v>4875</v>
      </c>
      <c r="H804" s="1" t="s">
        <v>4876</v>
      </c>
      <c r="I804" s="1" t="s">
        <v>7</v>
      </c>
      <c r="J804" s="1" t="s">
        <v>4877</v>
      </c>
      <c r="K804" s="1" t="s">
        <v>4878</v>
      </c>
      <c r="L804" s="1" t="s">
        <v>4879</v>
      </c>
      <c r="O804" s="1">
        <v>1</v>
      </c>
      <c r="P804" s="1" t="s">
        <v>4868</v>
      </c>
      <c r="Q804" s="1">
        <v>2004</v>
      </c>
      <c r="R804" s="1" t="s">
        <v>4869</v>
      </c>
      <c r="S804" s="1" t="s">
        <v>23</v>
      </c>
      <c r="T804" s="6">
        <v>1</v>
      </c>
      <c r="Z804" s="1">
        <v>71.7</v>
      </c>
      <c r="AE804" s="1">
        <v>16.100000000000001</v>
      </c>
      <c r="AJ804" s="1">
        <v>11.4</v>
      </c>
    </row>
    <row r="805" spans="1:117" x14ac:dyDescent="0.2">
      <c r="A805" s="1" t="s">
        <v>4880</v>
      </c>
      <c r="B805" s="1" t="s">
        <v>57</v>
      </c>
      <c r="C805" s="1" t="s">
        <v>4881</v>
      </c>
      <c r="E805" s="1">
        <v>56</v>
      </c>
      <c r="H805" s="1" t="s">
        <v>4882</v>
      </c>
      <c r="I805" s="1" t="s">
        <v>7</v>
      </c>
      <c r="J805" s="1" t="s">
        <v>4883</v>
      </c>
      <c r="P805" s="1" t="s">
        <v>4884</v>
      </c>
      <c r="Q805" s="1">
        <v>2001</v>
      </c>
      <c r="R805" s="1" t="s">
        <v>4885</v>
      </c>
      <c r="S805" s="1" t="s">
        <v>23</v>
      </c>
      <c r="T805" s="6">
        <v>1</v>
      </c>
      <c r="DM805" s="1">
        <v>91.34</v>
      </c>
    </row>
    <row r="806" spans="1:117" x14ac:dyDescent="0.2">
      <c r="A806" s="1" t="s">
        <v>4886</v>
      </c>
      <c r="B806" s="1" t="s">
        <v>57</v>
      </c>
      <c r="C806" s="1" t="s">
        <v>4881</v>
      </c>
      <c r="E806" s="1">
        <v>52</v>
      </c>
      <c r="F806" s="1" t="s">
        <v>3762</v>
      </c>
      <c r="H806" s="1" t="s">
        <v>4887</v>
      </c>
      <c r="I806" s="1" t="s">
        <v>7</v>
      </c>
      <c r="J806" s="1" t="s">
        <v>4888</v>
      </c>
      <c r="K806" s="1" t="s">
        <v>3765</v>
      </c>
      <c r="L806" s="1" t="s">
        <v>3766</v>
      </c>
      <c r="P806" s="1" t="s">
        <v>4884</v>
      </c>
      <c r="Q806" s="1">
        <v>2001</v>
      </c>
      <c r="R806" s="1" t="s">
        <v>4885</v>
      </c>
      <c r="S806" s="1" t="s">
        <v>23</v>
      </c>
      <c r="T806" s="6">
        <v>1</v>
      </c>
      <c r="DM806" s="1">
        <v>60.81</v>
      </c>
    </row>
    <row r="807" spans="1:117" x14ac:dyDescent="0.2">
      <c r="A807" s="1" t="s">
        <v>4889</v>
      </c>
      <c r="B807" s="1" t="s">
        <v>57</v>
      </c>
      <c r="C807" s="1" t="s">
        <v>4881</v>
      </c>
      <c r="E807" s="1">
        <v>56</v>
      </c>
      <c r="F807" s="1" t="s">
        <v>3849</v>
      </c>
      <c r="H807" s="1" t="s">
        <v>4890</v>
      </c>
      <c r="I807" s="1" t="s">
        <v>7</v>
      </c>
      <c r="J807" s="1" t="s">
        <v>4891</v>
      </c>
      <c r="K807" s="1" t="s">
        <v>3852</v>
      </c>
      <c r="L807" s="1" t="s">
        <v>4835</v>
      </c>
      <c r="P807" s="1" t="s">
        <v>4884</v>
      </c>
      <c r="Q807" s="1">
        <v>2001</v>
      </c>
      <c r="R807" s="1" t="s">
        <v>4885</v>
      </c>
      <c r="S807" s="1" t="s">
        <v>23</v>
      </c>
      <c r="T807" s="6">
        <v>1</v>
      </c>
      <c r="DM807" s="1">
        <v>73.989999999999995</v>
      </c>
    </row>
    <row r="808" spans="1:117" x14ac:dyDescent="0.2">
      <c r="A808" s="1" t="s">
        <v>4892</v>
      </c>
      <c r="B808" s="1" t="s">
        <v>57</v>
      </c>
      <c r="C808" s="1" t="s">
        <v>4881</v>
      </c>
      <c r="E808" s="1">
        <v>56</v>
      </c>
      <c r="F808" s="1" t="s">
        <v>4893</v>
      </c>
      <c r="H808" s="1" t="s">
        <v>4894</v>
      </c>
      <c r="I808" s="1" t="s">
        <v>7</v>
      </c>
      <c r="J808" s="1" t="s">
        <v>4895</v>
      </c>
      <c r="K808" s="1" t="s">
        <v>4896</v>
      </c>
      <c r="L808" s="1" t="s">
        <v>4897</v>
      </c>
      <c r="P808" s="1" t="s">
        <v>4884</v>
      </c>
      <c r="Q808" s="1">
        <v>2001</v>
      </c>
      <c r="R808" s="1" t="s">
        <v>4885</v>
      </c>
      <c r="S808" s="1" t="s">
        <v>23</v>
      </c>
      <c r="T808" s="6">
        <v>1</v>
      </c>
      <c r="DM808" s="1">
        <v>58.9</v>
      </c>
    </row>
    <row r="809" spans="1:117" x14ac:dyDescent="0.2">
      <c r="A809" s="1" t="s">
        <v>4898</v>
      </c>
      <c r="B809" s="1" t="s">
        <v>57</v>
      </c>
      <c r="C809" s="1" t="s">
        <v>4881</v>
      </c>
      <c r="E809" s="1">
        <v>53</v>
      </c>
      <c r="F809" s="1" t="s">
        <v>3879</v>
      </c>
      <c r="H809" s="1" t="s">
        <v>4899</v>
      </c>
      <c r="I809" s="1" t="s">
        <v>7</v>
      </c>
      <c r="J809" s="1" t="s">
        <v>3881</v>
      </c>
      <c r="K809" s="1" t="s">
        <v>3882</v>
      </c>
      <c r="L809" s="1" t="s">
        <v>3881</v>
      </c>
      <c r="P809" s="1" t="s">
        <v>4884</v>
      </c>
      <c r="Q809" s="1">
        <v>2001</v>
      </c>
      <c r="R809" s="1" t="s">
        <v>4885</v>
      </c>
      <c r="S809" s="1" t="s">
        <v>23</v>
      </c>
      <c r="T809" s="6">
        <v>1</v>
      </c>
      <c r="DM809" s="1">
        <v>46.31</v>
      </c>
    </row>
    <row r="810" spans="1:117" x14ac:dyDescent="0.2">
      <c r="A810" s="1" t="s">
        <v>4900</v>
      </c>
      <c r="B810" s="1" t="s">
        <v>57</v>
      </c>
      <c r="C810" s="1" t="s">
        <v>4881</v>
      </c>
      <c r="E810" s="1">
        <v>51</v>
      </c>
      <c r="F810" s="1" t="s">
        <v>4901</v>
      </c>
      <c r="H810" s="1" t="s">
        <v>4902</v>
      </c>
      <c r="I810" s="1" t="s">
        <v>7</v>
      </c>
      <c r="J810" s="1" t="s">
        <v>4903</v>
      </c>
      <c r="K810" s="1" t="s">
        <v>4904</v>
      </c>
      <c r="L810" s="1" t="s">
        <v>4905</v>
      </c>
      <c r="P810" s="1" t="s">
        <v>4884</v>
      </c>
      <c r="Q810" s="1">
        <v>2001</v>
      </c>
      <c r="R810" s="1" t="s">
        <v>4885</v>
      </c>
      <c r="S810" s="1" t="s">
        <v>23</v>
      </c>
      <c r="T810" s="6">
        <v>1</v>
      </c>
      <c r="DM810" s="1">
        <v>38.42</v>
      </c>
    </row>
    <row r="811" spans="1:117" x14ac:dyDescent="0.2">
      <c r="A811" s="1" t="s">
        <v>4906</v>
      </c>
      <c r="B811" s="1" t="s">
        <v>57</v>
      </c>
      <c r="C811" s="1" t="s">
        <v>4881</v>
      </c>
      <c r="E811" s="1">
        <v>56</v>
      </c>
      <c r="F811" s="1" t="s">
        <v>4907</v>
      </c>
      <c r="H811" s="1" t="s">
        <v>4908</v>
      </c>
      <c r="I811" s="1" t="s">
        <v>7</v>
      </c>
      <c r="J811" s="1" t="s">
        <v>4909</v>
      </c>
      <c r="K811" s="1" t="s">
        <v>4910</v>
      </c>
      <c r="L811" s="1" t="s">
        <v>4911</v>
      </c>
      <c r="P811" s="1" t="s">
        <v>4884</v>
      </c>
      <c r="Q811" s="1">
        <v>2001</v>
      </c>
      <c r="R811" s="1" t="s">
        <v>4885</v>
      </c>
      <c r="S811" s="1" t="s">
        <v>23</v>
      </c>
      <c r="T811" s="6">
        <v>1</v>
      </c>
      <c r="DM811" s="1">
        <v>37.03</v>
      </c>
    </row>
    <row r="812" spans="1:117" x14ac:dyDescent="0.2">
      <c r="A812" s="1" t="s">
        <v>4912</v>
      </c>
      <c r="B812" s="1" t="s">
        <v>57</v>
      </c>
      <c r="C812" s="1" t="s">
        <v>4881</v>
      </c>
      <c r="E812" s="1">
        <v>54</v>
      </c>
      <c r="F812" s="1" t="s">
        <v>4913</v>
      </c>
      <c r="H812" s="1" t="s">
        <v>4914</v>
      </c>
      <c r="I812" s="1" t="s">
        <v>7</v>
      </c>
      <c r="J812" s="1" t="s">
        <v>4915</v>
      </c>
      <c r="K812" s="1" t="s">
        <v>4916</v>
      </c>
      <c r="L812" s="1" t="s">
        <v>4917</v>
      </c>
      <c r="P812" s="1" t="s">
        <v>4884</v>
      </c>
      <c r="Q812" s="1">
        <v>2001</v>
      </c>
      <c r="R812" s="1" t="s">
        <v>4885</v>
      </c>
      <c r="S812" s="1" t="s">
        <v>23</v>
      </c>
      <c r="T812" s="6">
        <v>1</v>
      </c>
      <c r="DM812" s="1">
        <v>15.73</v>
      </c>
    </row>
    <row r="813" spans="1:117" x14ac:dyDescent="0.2">
      <c r="A813" s="1" t="s">
        <v>4918</v>
      </c>
      <c r="B813" s="1" t="s">
        <v>57</v>
      </c>
      <c r="C813" s="1" t="s">
        <v>4881</v>
      </c>
      <c r="E813" s="1">
        <v>56</v>
      </c>
      <c r="F813" s="1" t="s">
        <v>4919</v>
      </c>
      <c r="H813" s="1" t="s">
        <v>4920</v>
      </c>
      <c r="I813" s="1" t="s">
        <v>7</v>
      </c>
      <c r="J813" s="1" t="s">
        <v>4921</v>
      </c>
      <c r="K813" s="1" t="s">
        <v>4922</v>
      </c>
      <c r="L813" s="1" t="s">
        <v>4921</v>
      </c>
      <c r="P813" s="1" t="s">
        <v>4884</v>
      </c>
      <c r="Q813" s="1">
        <v>2001</v>
      </c>
      <c r="R813" s="1" t="s">
        <v>4885</v>
      </c>
      <c r="S813" s="1" t="s">
        <v>23</v>
      </c>
      <c r="T813" s="6">
        <v>1</v>
      </c>
      <c r="DM813" s="1">
        <v>29.66</v>
      </c>
    </row>
    <row r="814" spans="1:117" x14ac:dyDescent="0.2">
      <c r="A814" s="1" t="s">
        <v>4923</v>
      </c>
      <c r="B814" s="1" t="s">
        <v>57</v>
      </c>
      <c r="C814" s="1" t="s">
        <v>4881</v>
      </c>
      <c r="E814" s="1">
        <v>52</v>
      </c>
      <c r="F814" s="1" t="s">
        <v>4924</v>
      </c>
      <c r="H814" s="1" t="s">
        <v>4925</v>
      </c>
      <c r="I814" s="1" t="s">
        <v>7</v>
      </c>
      <c r="J814" s="1" t="s">
        <v>4926</v>
      </c>
      <c r="K814" s="1" t="s">
        <v>4927</v>
      </c>
      <c r="L814" s="1" t="s">
        <v>4928</v>
      </c>
      <c r="P814" s="1" t="s">
        <v>4884</v>
      </c>
      <c r="Q814" s="1">
        <v>2001</v>
      </c>
      <c r="R814" s="1" t="s">
        <v>4885</v>
      </c>
      <c r="S814" s="1" t="s">
        <v>23</v>
      </c>
      <c r="T814" s="6">
        <v>1</v>
      </c>
      <c r="DM814" s="1">
        <v>23.65</v>
      </c>
    </row>
    <row r="815" spans="1:117" x14ac:dyDescent="0.2">
      <c r="A815" s="1" t="s">
        <v>4929</v>
      </c>
      <c r="B815" s="1" t="s">
        <v>57</v>
      </c>
      <c r="C815" s="1" t="s">
        <v>4881</v>
      </c>
      <c r="E815" s="1">
        <v>55</v>
      </c>
      <c r="F815" s="1" t="s">
        <v>4930</v>
      </c>
      <c r="H815" s="1" t="s">
        <v>4931</v>
      </c>
      <c r="I815" s="1" t="s">
        <v>7</v>
      </c>
      <c r="J815" s="1" t="s">
        <v>4932</v>
      </c>
      <c r="K815" s="1" t="s">
        <v>4933</v>
      </c>
      <c r="L815" s="1" t="s">
        <v>4934</v>
      </c>
      <c r="P815" s="1" t="s">
        <v>4884</v>
      </c>
      <c r="Q815" s="1">
        <v>2001</v>
      </c>
      <c r="R815" s="1" t="s">
        <v>4885</v>
      </c>
      <c r="S815" s="1" t="s">
        <v>23</v>
      </c>
      <c r="T815" s="6">
        <v>1</v>
      </c>
      <c r="DM815" s="1">
        <v>13.44</v>
      </c>
    </row>
    <row r="816" spans="1:117" x14ac:dyDescent="0.2">
      <c r="A816" s="1" t="s">
        <v>4935</v>
      </c>
      <c r="B816" s="1" t="s">
        <v>57</v>
      </c>
      <c r="C816" s="1" t="s">
        <v>4881</v>
      </c>
      <c r="E816" s="1">
        <v>52</v>
      </c>
      <c r="F816" s="1" t="s">
        <v>4936</v>
      </c>
      <c r="H816" s="1" t="s">
        <v>4937</v>
      </c>
      <c r="I816" s="1" t="s">
        <v>7</v>
      </c>
      <c r="J816" s="1" t="s">
        <v>4938</v>
      </c>
      <c r="K816" s="1" t="s">
        <v>4939</v>
      </c>
      <c r="L816" s="1" t="s">
        <v>4940</v>
      </c>
      <c r="P816" s="1" t="s">
        <v>4884</v>
      </c>
      <c r="Q816" s="1">
        <v>2001</v>
      </c>
      <c r="R816" s="1" t="s">
        <v>4885</v>
      </c>
      <c r="S816" s="1" t="s">
        <v>23</v>
      </c>
      <c r="T816" s="6">
        <v>1</v>
      </c>
      <c r="DM816" s="1">
        <v>0.79</v>
      </c>
    </row>
    <row r="817" spans="1:153" x14ac:dyDescent="0.2">
      <c r="A817" s="1" t="s">
        <v>4941</v>
      </c>
      <c r="B817" s="1" t="s">
        <v>1912</v>
      </c>
      <c r="C817" s="1" t="s">
        <v>4516</v>
      </c>
      <c r="E817" s="1">
        <v>45</v>
      </c>
      <c r="F817" s="1" t="s">
        <v>4942</v>
      </c>
      <c r="H817" s="1" t="s">
        <v>4943</v>
      </c>
      <c r="I817" s="1" t="s">
        <v>7</v>
      </c>
      <c r="J817" s="1" t="s">
        <v>4944</v>
      </c>
      <c r="K817" s="1" t="s">
        <v>4945</v>
      </c>
      <c r="L817" s="1" t="s">
        <v>4944</v>
      </c>
      <c r="P817" s="1" t="s">
        <v>1270</v>
      </c>
      <c r="Q817" s="1">
        <v>2002</v>
      </c>
      <c r="R817" s="1" t="s">
        <v>4946</v>
      </c>
      <c r="S817" s="1" t="s">
        <v>23</v>
      </c>
      <c r="T817" s="6">
        <v>1</v>
      </c>
      <c r="AH817" s="1">
        <v>1.1299999999999999</v>
      </c>
      <c r="AK817" s="1">
        <v>0.26559512000000002</v>
      </c>
      <c r="AL817" s="1">
        <v>0.16468511999999999</v>
      </c>
      <c r="AM817" s="1">
        <v>0.32694839999999997</v>
      </c>
      <c r="EW817" s="1">
        <v>118</v>
      </c>
    </row>
    <row r="818" spans="1:153" x14ac:dyDescent="0.2">
      <c r="A818" s="1" t="s">
        <v>4947</v>
      </c>
      <c r="B818" s="1" t="s">
        <v>57</v>
      </c>
      <c r="C818" s="1" t="s">
        <v>4948</v>
      </c>
      <c r="E818" s="1">
        <v>52</v>
      </c>
      <c r="F818" s="1" t="s">
        <v>4949</v>
      </c>
      <c r="G818" s="1" t="s">
        <v>4950</v>
      </c>
      <c r="H818" s="1" t="s">
        <v>4951</v>
      </c>
      <c r="I818" s="1" t="s">
        <v>7</v>
      </c>
      <c r="J818" s="1" t="s">
        <v>4952</v>
      </c>
      <c r="K818" s="1" t="s">
        <v>4953</v>
      </c>
      <c r="L818" s="1" t="s">
        <v>4952</v>
      </c>
      <c r="M818" s="1" t="s">
        <v>4954</v>
      </c>
      <c r="Q818" s="1">
        <v>2009</v>
      </c>
      <c r="R818" s="1" t="s">
        <v>4955</v>
      </c>
      <c r="S818" s="1" t="s">
        <v>23</v>
      </c>
      <c r="T818" s="6">
        <v>1</v>
      </c>
      <c r="AK818" s="1">
        <v>0.49199999999999999</v>
      </c>
      <c r="AL818" s="1">
        <v>0.22</v>
      </c>
      <c r="AM818" s="1">
        <v>0.313</v>
      </c>
    </row>
    <row r="819" spans="1:153" x14ac:dyDescent="0.2">
      <c r="A819" s="1" t="s">
        <v>4956</v>
      </c>
      <c r="B819" s="1" t="s">
        <v>57</v>
      </c>
      <c r="C819" s="1" t="s">
        <v>4957</v>
      </c>
      <c r="E819" s="1">
        <v>52</v>
      </c>
      <c r="F819" s="1" t="s">
        <v>4949</v>
      </c>
      <c r="G819" s="1" t="s">
        <v>4950</v>
      </c>
      <c r="H819" s="1" t="s">
        <v>4951</v>
      </c>
      <c r="I819" s="1" t="s">
        <v>7</v>
      </c>
      <c r="J819" s="1" t="s">
        <v>4952</v>
      </c>
      <c r="K819" s="1" t="s">
        <v>4953</v>
      </c>
      <c r="L819" s="1" t="s">
        <v>4952</v>
      </c>
      <c r="M819" s="1" t="s">
        <v>4954</v>
      </c>
      <c r="Q819" s="1">
        <v>2009</v>
      </c>
      <c r="R819" s="1" t="s">
        <v>4955</v>
      </c>
      <c r="S819" s="1" t="s">
        <v>23</v>
      </c>
      <c r="T819" s="6">
        <v>1</v>
      </c>
      <c r="AK819" s="1">
        <v>1.6379999999999999</v>
      </c>
      <c r="AL819" s="1">
        <v>0.72</v>
      </c>
      <c r="AM819" s="1">
        <v>1.01</v>
      </c>
    </row>
    <row r="820" spans="1:153" x14ac:dyDescent="0.2">
      <c r="A820" s="1" t="s">
        <v>4958</v>
      </c>
      <c r="B820" s="1" t="s">
        <v>57</v>
      </c>
      <c r="C820" s="1" t="s">
        <v>4948</v>
      </c>
      <c r="E820" s="1">
        <v>56</v>
      </c>
      <c r="F820" s="1" t="s">
        <v>4893</v>
      </c>
      <c r="G820" s="1" t="s">
        <v>4959</v>
      </c>
      <c r="H820" s="1" t="s">
        <v>4960</v>
      </c>
      <c r="I820" s="1" t="s">
        <v>7</v>
      </c>
      <c r="J820" s="1" t="s">
        <v>4897</v>
      </c>
      <c r="K820" s="1" t="s">
        <v>4896</v>
      </c>
      <c r="L820" s="1" t="s">
        <v>4897</v>
      </c>
      <c r="M820" s="1" t="s">
        <v>4961</v>
      </c>
      <c r="Q820" s="1">
        <v>2009</v>
      </c>
      <c r="R820" s="1" t="s">
        <v>4955</v>
      </c>
      <c r="S820" s="1" t="s">
        <v>23</v>
      </c>
      <c r="T820" s="6">
        <v>1</v>
      </c>
      <c r="AK820" s="1">
        <v>0.69799999999999995</v>
      </c>
      <c r="AL820" s="1">
        <v>0.35299999999999998</v>
      </c>
      <c r="AM820" s="1">
        <v>0.76400000000000001</v>
      </c>
    </row>
    <row r="821" spans="1:153" x14ac:dyDescent="0.2">
      <c r="A821" s="1" t="s">
        <v>4962</v>
      </c>
      <c r="B821" s="1" t="s">
        <v>57</v>
      </c>
      <c r="C821" s="1" t="s">
        <v>4957</v>
      </c>
      <c r="E821" s="1">
        <v>56</v>
      </c>
      <c r="F821" s="1" t="s">
        <v>4893</v>
      </c>
      <c r="G821" s="1" t="s">
        <v>4959</v>
      </c>
      <c r="H821" s="1" t="s">
        <v>4960</v>
      </c>
      <c r="I821" s="1" t="s">
        <v>7</v>
      </c>
      <c r="J821" s="1" t="s">
        <v>4897</v>
      </c>
      <c r="K821" s="1" t="s">
        <v>4896</v>
      </c>
      <c r="L821" s="1" t="s">
        <v>4897</v>
      </c>
      <c r="M821" s="1" t="s">
        <v>4961</v>
      </c>
      <c r="Q821" s="1">
        <v>2009</v>
      </c>
      <c r="R821" s="1" t="s">
        <v>4955</v>
      </c>
      <c r="S821" s="1" t="s">
        <v>23</v>
      </c>
      <c r="T821" s="6">
        <v>1</v>
      </c>
      <c r="AK821" s="1">
        <v>0.42199999999999999</v>
      </c>
      <c r="AL821" s="1">
        <v>0.21099999999999999</v>
      </c>
      <c r="AM821" s="1">
        <v>0.48299999999999998</v>
      </c>
    </row>
    <row r="822" spans="1:153" x14ac:dyDescent="0.2">
      <c r="A822" s="1" t="s">
        <v>4963</v>
      </c>
      <c r="B822" s="1" t="s">
        <v>57</v>
      </c>
      <c r="C822" s="1" t="s">
        <v>4964</v>
      </c>
      <c r="E822" s="1">
        <v>56</v>
      </c>
      <c r="F822" s="1" t="s">
        <v>4965</v>
      </c>
      <c r="G822" s="1" t="s">
        <v>4966</v>
      </c>
      <c r="H822" s="1" t="s">
        <v>4967</v>
      </c>
      <c r="I822" s="1" t="s">
        <v>7</v>
      </c>
      <c r="J822" s="1" t="s">
        <v>4968</v>
      </c>
      <c r="K822" s="1" t="s">
        <v>4969</v>
      </c>
      <c r="L822" s="1" t="s">
        <v>4968</v>
      </c>
      <c r="M822" s="1" t="s">
        <v>4961</v>
      </c>
      <c r="Q822" s="1">
        <v>2009</v>
      </c>
      <c r="R822" s="1" t="s">
        <v>4955</v>
      </c>
      <c r="S822" s="1" t="s">
        <v>23</v>
      </c>
      <c r="T822" s="6">
        <v>1</v>
      </c>
      <c r="AK822" s="1">
        <v>0.71599999999999997</v>
      </c>
      <c r="AL822" s="1">
        <v>0.497</v>
      </c>
      <c r="AM822" s="1">
        <v>0.70099999999999996</v>
      </c>
    </row>
    <row r="823" spans="1:153" x14ac:dyDescent="0.2">
      <c r="A823" s="1" t="s">
        <v>4970</v>
      </c>
      <c r="B823" s="1" t="s">
        <v>57</v>
      </c>
      <c r="C823" s="1" t="s">
        <v>4971</v>
      </c>
      <c r="E823" s="1">
        <v>56</v>
      </c>
      <c r="F823" s="1" t="s">
        <v>4965</v>
      </c>
      <c r="G823" s="1" t="s">
        <v>4966</v>
      </c>
      <c r="H823" s="1" t="s">
        <v>4967</v>
      </c>
      <c r="I823" s="1" t="s">
        <v>7</v>
      </c>
      <c r="J823" s="1" t="s">
        <v>4968</v>
      </c>
      <c r="K823" s="1" t="s">
        <v>4969</v>
      </c>
      <c r="L823" s="1" t="s">
        <v>4968</v>
      </c>
      <c r="M823" s="1" t="s">
        <v>4961</v>
      </c>
      <c r="Q823" s="1">
        <v>2009</v>
      </c>
      <c r="R823" s="1" t="s">
        <v>4955</v>
      </c>
      <c r="S823" s="1" t="s">
        <v>23</v>
      </c>
      <c r="T823" s="6">
        <v>1</v>
      </c>
      <c r="AK823" s="1">
        <v>0.90800000000000003</v>
      </c>
      <c r="AL823" s="1">
        <v>0.49399999999999999</v>
      </c>
      <c r="AM823" s="1">
        <v>0.73199999999999998</v>
      </c>
    </row>
    <row r="824" spans="1:153" x14ac:dyDescent="0.2">
      <c r="A824" s="1" t="s">
        <v>4972</v>
      </c>
      <c r="B824" s="1" t="s">
        <v>57</v>
      </c>
      <c r="C824" s="1" t="s">
        <v>4964</v>
      </c>
      <c r="E824" s="1">
        <v>56</v>
      </c>
      <c r="F824" s="1" t="s">
        <v>4919</v>
      </c>
      <c r="G824" s="1" t="s">
        <v>4973</v>
      </c>
      <c r="H824" s="1" t="s">
        <v>4974</v>
      </c>
      <c r="I824" s="1" t="s">
        <v>7</v>
      </c>
      <c r="J824" s="1" t="s">
        <v>4921</v>
      </c>
      <c r="K824" s="1" t="s">
        <v>4922</v>
      </c>
      <c r="L824" s="1" t="s">
        <v>4921</v>
      </c>
      <c r="M824" s="1" t="s">
        <v>4961</v>
      </c>
      <c r="Q824" s="1">
        <v>2009</v>
      </c>
      <c r="R824" s="1" t="s">
        <v>4955</v>
      </c>
      <c r="S824" s="1" t="s">
        <v>23</v>
      </c>
      <c r="T824" s="6">
        <v>1</v>
      </c>
      <c r="AK824" s="1">
        <v>0.47399999999999998</v>
      </c>
      <c r="AL824" s="1">
        <v>0.21299999999999999</v>
      </c>
      <c r="AM824" s="1">
        <v>0.4</v>
      </c>
    </row>
    <row r="825" spans="1:153" x14ac:dyDescent="0.2">
      <c r="A825" s="1" t="s">
        <v>4975</v>
      </c>
      <c r="B825" s="1" t="s">
        <v>57</v>
      </c>
      <c r="C825" s="1" t="s">
        <v>4971</v>
      </c>
      <c r="E825" s="1">
        <v>56</v>
      </c>
      <c r="F825" s="1" t="s">
        <v>4919</v>
      </c>
      <c r="G825" s="1" t="s">
        <v>4973</v>
      </c>
      <c r="H825" s="1" t="s">
        <v>4974</v>
      </c>
      <c r="I825" s="1" t="s">
        <v>7</v>
      </c>
      <c r="J825" s="1" t="s">
        <v>4921</v>
      </c>
      <c r="K825" s="1" t="s">
        <v>4922</v>
      </c>
      <c r="L825" s="1" t="s">
        <v>4921</v>
      </c>
      <c r="M825" s="1" t="s">
        <v>4961</v>
      </c>
      <c r="Q825" s="1">
        <v>2009</v>
      </c>
      <c r="R825" s="1" t="s">
        <v>4955</v>
      </c>
      <c r="S825" s="1" t="s">
        <v>23</v>
      </c>
      <c r="T825" s="6">
        <v>1</v>
      </c>
      <c r="AK825" s="1">
        <v>1.478</v>
      </c>
      <c r="AL825" s="1">
        <v>0.83799999999999997</v>
      </c>
      <c r="AM825" s="1">
        <v>1.0820000000000001</v>
      </c>
    </row>
    <row r="826" spans="1:153" x14ac:dyDescent="0.2">
      <c r="A826" s="1" t="s">
        <v>4976</v>
      </c>
      <c r="B826" s="1" t="s">
        <v>57</v>
      </c>
      <c r="C826" s="1" t="s">
        <v>4964</v>
      </c>
      <c r="E826" s="1">
        <v>56</v>
      </c>
      <c r="F826" s="1" t="s">
        <v>4907</v>
      </c>
      <c r="G826" s="1" t="s">
        <v>4977</v>
      </c>
      <c r="H826" s="1" t="s">
        <v>4910</v>
      </c>
      <c r="I826" s="1" t="s">
        <v>7</v>
      </c>
      <c r="J826" s="1" t="s">
        <v>4911</v>
      </c>
      <c r="K826" s="1" t="s">
        <v>4911</v>
      </c>
      <c r="L826" s="1" t="s">
        <v>4911</v>
      </c>
      <c r="M826" s="1" t="s">
        <v>4961</v>
      </c>
      <c r="Q826" s="1">
        <v>2009</v>
      </c>
      <c r="R826" s="1" t="s">
        <v>4955</v>
      </c>
      <c r="S826" s="1" t="s">
        <v>23</v>
      </c>
      <c r="T826" s="6">
        <v>1</v>
      </c>
      <c r="AK826" s="1">
        <v>1.1020000000000001</v>
      </c>
      <c r="AL826" s="1">
        <v>0.46800000000000003</v>
      </c>
      <c r="AM826" s="1">
        <v>0.74299999999999999</v>
      </c>
    </row>
    <row r="827" spans="1:153" x14ac:dyDescent="0.2">
      <c r="A827" s="1" t="s">
        <v>4978</v>
      </c>
      <c r="B827" s="1" t="s">
        <v>57</v>
      </c>
      <c r="C827" s="1" t="s">
        <v>4971</v>
      </c>
      <c r="E827" s="1">
        <v>56</v>
      </c>
      <c r="F827" s="1" t="s">
        <v>4907</v>
      </c>
      <c r="G827" s="1" t="s">
        <v>4977</v>
      </c>
      <c r="H827" s="1" t="s">
        <v>4910</v>
      </c>
      <c r="I827" s="1" t="s">
        <v>7</v>
      </c>
      <c r="J827" s="1" t="s">
        <v>4911</v>
      </c>
      <c r="L827" s="1" t="s">
        <v>4911</v>
      </c>
      <c r="M827" s="1" t="s">
        <v>4961</v>
      </c>
      <c r="Q827" s="1">
        <v>2009</v>
      </c>
      <c r="R827" s="1" t="s">
        <v>4955</v>
      </c>
      <c r="S827" s="1" t="s">
        <v>23</v>
      </c>
      <c r="T827" s="6">
        <v>1</v>
      </c>
      <c r="AK827" s="1">
        <v>0.504</v>
      </c>
      <c r="AL827" s="1">
        <v>0.219</v>
      </c>
      <c r="AM827" s="1">
        <v>0.34899999999999998</v>
      </c>
    </row>
    <row r="828" spans="1:153" x14ac:dyDescent="0.2">
      <c r="A828" s="1" t="s">
        <v>4979</v>
      </c>
      <c r="B828" s="1" t="s">
        <v>57</v>
      </c>
      <c r="C828" s="1" t="s">
        <v>4980</v>
      </c>
      <c r="E828" s="1">
        <v>52</v>
      </c>
      <c r="F828" s="1" t="s">
        <v>4981</v>
      </c>
      <c r="H828" s="1" t="s">
        <v>4982</v>
      </c>
      <c r="I828" s="1" t="s">
        <v>7</v>
      </c>
      <c r="J828" s="1" t="s">
        <v>4983</v>
      </c>
      <c r="K828" s="1" t="s">
        <v>4984</v>
      </c>
      <c r="L828" s="1" t="s">
        <v>4983</v>
      </c>
      <c r="N828" s="1" t="s">
        <v>4985</v>
      </c>
      <c r="P828" s="1" t="s">
        <v>4986</v>
      </c>
      <c r="Q828" s="1">
        <v>1992</v>
      </c>
      <c r="R828" s="1" t="s">
        <v>4987</v>
      </c>
      <c r="S828" s="1" t="s">
        <v>23</v>
      </c>
      <c r="T828" s="6">
        <v>1</v>
      </c>
      <c r="U828" s="1">
        <v>0.58799999999999997</v>
      </c>
      <c r="W828" s="1">
        <v>129</v>
      </c>
      <c r="Z828" s="1">
        <v>71.599999999999994</v>
      </c>
      <c r="AE828" s="1">
        <v>23.7</v>
      </c>
      <c r="AJ828" s="1">
        <v>0.3</v>
      </c>
      <c r="AR828" s="1">
        <v>1.3</v>
      </c>
      <c r="AU828" s="1">
        <v>0.2</v>
      </c>
      <c r="AV828" s="1">
        <v>2.9</v>
      </c>
      <c r="AY828" s="1">
        <v>315.7</v>
      </c>
      <c r="BD828" s="1">
        <v>0.2</v>
      </c>
      <c r="BF828" s="1">
        <v>5.3</v>
      </c>
      <c r="BH828" s="1">
        <v>315</v>
      </c>
      <c r="BJ828" s="1">
        <v>266.3</v>
      </c>
      <c r="BM828" s="1">
        <v>122.3</v>
      </c>
      <c r="BP828" s="1">
        <v>403</v>
      </c>
      <c r="BW828" s="1">
        <v>2</v>
      </c>
      <c r="CA828" s="1">
        <v>4.5999999999999996</v>
      </c>
      <c r="CC828" s="1">
        <v>19</v>
      </c>
    </row>
    <row r="829" spans="1:153" x14ac:dyDescent="0.2">
      <c r="A829" s="1" t="s">
        <v>4988</v>
      </c>
      <c r="B829" s="1" t="s">
        <v>57</v>
      </c>
      <c r="C829" s="1" t="s">
        <v>4989</v>
      </c>
      <c r="E829" s="1">
        <v>52</v>
      </c>
      <c r="F829" s="1" t="s">
        <v>4981</v>
      </c>
      <c r="H829" s="1" t="s">
        <v>4982</v>
      </c>
      <c r="I829" s="1" t="s">
        <v>7</v>
      </c>
      <c r="J829" s="1" t="s">
        <v>4983</v>
      </c>
      <c r="K829" s="1" t="s">
        <v>4984</v>
      </c>
      <c r="L829" s="1" t="s">
        <v>4983</v>
      </c>
      <c r="N829" s="1" t="s">
        <v>4990</v>
      </c>
      <c r="P829" s="1" t="s">
        <v>4986</v>
      </c>
      <c r="Q829" s="1">
        <v>1992</v>
      </c>
      <c r="R829" s="1" t="s">
        <v>4987</v>
      </c>
      <c r="S829" s="1" t="s">
        <v>23</v>
      </c>
      <c r="T829" s="6">
        <v>1</v>
      </c>
      <c r="U829" s="1">
        <v>0.41299999999999998</v>
      </c>
      <c r="W829" s="1">
        <v>126.5</v>
      </c>
      <c r="Z829" s="1">
        <v>71.7</v>
      </c>
      <c r="AE829" s="1">
        <v>23.8</v>
      </c>
      <c r="AJ829" s="1">
        <v>0.3</v>
      </c>
      <c r="AR829" s="1">
        <v>1.1000000000000001</v>
      </c>
      <c r="AU829" s="1">
        <v>0.5</v>
      </c>
      <c r="AV829" s="1">
        <v>2.6</v>
      </c>
      <c r="AY829" s="1">
        <v>233.5</v>
      </c>
      <c r="BD829" s="1">
        <v>0.4</v>
      </c>
      <c r="BF829" s="1">
        <v>1.5</v>
      </c>
      <c r="BH829" s="1">
        <v>302</v>
      </c>
      <c r="BJ829" s="1">
        <v>217.5</v>
      </c>
      <c r="BM829" s="1">
        <v>145.5</v>
      </c>
      <c r="BP829" s="1">
        <v>418.5</v>
      </c>
      <c r="BW829" s="1">
        <v>2.5</v>
      </c>
      <c r="CA829" s="1">
        <v>5.6</v>
      </c>
      <c r="CC829" s="1">
        <v>21</v>
      </c>
    </row>
    <row r="830" spans="1:153" x14ac:dyDescent="0.2">
      <c r="A830" s="1" t="s">
        <v>4991</v>
      </c>
      <c r="B830" s="1" t="s">
        <v>57</v>
      </c>
      <c r="C830" s="1" t="s">
        <v>4992</v>
      </c>
      <c r="E830" s="1">
        <v>52</v>
      </c>
      <c r="F830" s="1" t="s">
        <v>4981</v>
      </c>
      <c r="H830" s="1" t="s">
        <v>4982</v>
      </c>
      <c r="I830" s="1" t="s">
        <v>7</v>
      </c>
      <c r="J830" s="1" t="s">
        <v>4983</v>
      </c>
      <c r="K830" s="1" t="s">
        <v>4984</v>
      </c>
      <c r="L830" s="1" t="s">
        <v>4983</v>
      </c>
      <c r="N830" s="1" t="s">
        <v>4993</v>
      </c>
      <c r="P830" s="1" t="s">
        <v>4986</v>
      </c>
      <c r="Q830" s="1">
        <v>1992</v>
      </c>
      <c r="R830" s="1" t="s">
        <v>4987</v>
      </c>
      <c r="S830" s="1" t="s">
        <v>23</v>
      </c>
      <c r="T830" s="6">
        <v>1</v>
      </c>
      <c r="U830" s="1">
        <v>0.65600000000000003</v>
      </c>
      <c r="W830" s="1">
        <v>129</v>
      </c>
      <c r="Z830" s="1">
        <v>72.099999999999994</v>
      </c>
      <c r="AE830" s="1">
        <v>23.4</v>
      </c>
      <c r="AJ830" s="1">
        <v>0.2</v>
      </c>
      <c r="AR830" s="1">
        <v>1.5</v>
      </c>
      <c r="AU830" s="1">
        <v>0.2</v>
      </c>
      <c r="AV830" s="1">
        <v>2.6</v>
      </c>
      <c r="AY830" s="1">
        <v>264.3</v>
      </c>
      <c r="BD830" s="1">
        <v>0.5</v>
      </c>
      <c r="BF830" s="1">
        <v>2.2999999999999998</v>
      </c>
      <c r="BH830" s="1">
        <v>89.7</v>
      </c>
      <c r="BJ830" s="1">
        <v>249</v>
      </c>
      <c r="BM830" s="1">
        <v>125.7</v>
      </c>
      <c r="BP830" s="1">
        <v>465</v>
      </c>
      <c r="BW830" s="1">
        <v>8.6999999999999993</v>
      </c>
      <c r="CA830" s="1">
        <v>6.2</v>
      </c>
      <c r="CC830" s="1">
        <v>19</v>
      </c>
    </row>
    <row r="831" spans="1:153" x14ac:dyDescent="0.2">
      <c r="A831" s="1" t="s">
        <v>4994</v>
      </c>
      <c r="B831" s="1" t="s">
        <v>57</v>
      </c>
      <c r="C831" s="1" t="s">
        <v>4995</v>
      </c>
      <c r="E831" s="1">
        <v>56</v>
      </c>
      <c r="F831" s="1" t="s">
        <v>4907</v>
      </c>
      <c r="H831" s="1" t="s">
        <v>4996</v>
      </c>
      <c r="I831" s="1" t="s">
        <v>7</v>
      </c>
      <c r="J831" s="1" t="s">
        <v>4911</v>
      </c>
      <c r="K831" s="1" t="s">
        <v>4910</v>
      </c>
      <c r="L831" s="1" t="s">
        <v>4911</v>
      </c>
      <c r="N831" s="1" t="s">
        <v>4997</v>
      </c>
      <c r="Q831" s="1">
        <v>2006</v>
      </c>
      <c r="R831" s="1" t="s">
        <v>4998</v>
      </c>
      <c r="S831" s="1" t="s">
        <v>23</v>
      </c>
      <c r="T831" s="6">
        <v>1</v>
      </c>
      <c r="Z831" s="1">
        <v>83.98</v>
      </c>
      <c r="AC831" s="1">
        <v>9.56</v>
      </c>
      <c r="AH831" s="1">
        <v>0.98</v>
      </c>
      <c r="AR831" s="1">
        <v>1.1399999999999999</v>
      </c>
      <c r="AV831" s="1">
        <v>3.3</v>
      </c>
    </row>
    <row r="832" spans="1:153" x14ac:dyDescent="0.2">
      <c r="A832" s="1" t="s">
        <v>4999</v>
      </c>
      <c r="B832" s="1" t="s">
        <v>57</v>
      </c>
      <c r="C832" s="1" t="s">
        <v>5000</v>
      </c>
      <c r="D832" s="1" t="s">
        <v>2</v>
      </c>
      <c r="E832" s="1">
        <v>56</v>
      </c>
      <c r="F832" s="1" t="s">
        <v>4464</v>
      </c>
      <c r="H832" s="1" t="s">
        <v>5001</v>
      </c>
      <c r="I832" s="1" t="s">
        <v>7</v>
      </c>
      <c r="J832" s="1" t="s">
        <v>4466</v>
      </c>
      <c r="K832" s="1" t="s">
        <v>4467</v>
      </c>
      <c r="L832" s="1" t="s">
        <v>4466</v>
      </c>
      <c r="N832" s="1" t="s">
        <v>5002</v>
      </c>
      <c r="Q832" s="1">
        <v>2006</v>
      </c>
      <c r="R832" s="1" t="s">
        <v>4998</v>
      </c>
      <c r="S832" s="1" t="s">
        <v>23</v>
      </c>
      <c r="T832" s="6">
        <v>1</v>
      </c>
      <c r="Z832" s="1">
        <v>85.91</v>
      </c>
      <c r="AC832" s="1">
        <v>8.7100000000000009</v>
      </c>
      <c r="AH832" s="1">
        <v>0.78</v>
      </c>
      <c r="AR832" s="1">
        <v>1.1000000000000001</v>
      </c>
      <c r="AV832" s="1">
        <v>3.1</v>
      </c>
    </row>
    <row r="833" spans="1:83" x14ac:dyDescent="0.2">
      <c r="A833" s="1" t="s">
        <v>5003</v>
      </c>
      <c r="B833" s="1" t="s">
        <v>57</v>
      </c>
      <c r="C833" s="1" t="s">
        <v>5004</v>
      </c>
      <c r="E833" s="1">
        <v>57</v>
      </c>
      <c r="F833" s="1" t="s">
        <v>1923</v>
      </c>
      <c r="H833" s="1" t="s">
        <v>5005</v>
      </c>
      <c r="I833" s="1" t="s">
        <v>7</v>
      </c>
      <c r="J833" s="1" t="s">
        <v>1925</v>
      </c>
      <c r="K833" s="1" t="s">
        <v>1926</v>
      </c>
      <c r="L833" s="1" t="s">
        <v>1925</v>
      </c>
      <c r="M833" s="1" t="s">
        <v>5006</v>
      </c>
      <c r="Q833" s="1">
        <v>2009</v>
      </c>
      <c r="R833" s="1" t="s">
        <v>5007</v>
      </c>
      <c r="S833" s="1" t="s">
        <v>27</v>
      </c>
      <c r="T833" s="6">
        <v>1</v>
      </c>
      <c r="AX833" s="1">
        <v>3400</v>
      </c>
      <c r="AY833" s="1">
        <v>21.3</v>
      </c>
      <c r="AZ833" s="1">
        <v>629</v>
      </c>
      <c r="BD833" s="1">
        <v>0.38</v>
      </c>
      <c r="BF833" s="1">
        <v>0.42</v>
      </c>
      <c r="BH833" s="1">
        <v>223</v>
      </c>
      <c r="BJ833" s="1">
        <v>93.8</v>
      </c>
      <c r="BK833" s="1">
        <v>3.1E-2</v>
      </c>
      <c r="BM833" s="1">
        <v>572</v>
      </c>
      <c r="BO833" s="1">
        <v>2</v>
      </c>
      <c r="BP833" s="1">
        <v>147</v>
      </c>
      <c r="BQ833" s="1">
        <v>4.3999999999999997E-2</v>
      </c>
      <c r="BR833" s="1">
        <v>257</v>
      </c>
      <c r="BS833" s="1" t="s">
        <v>15</v>
      </c>
      <c r="BW833" s="1">
        <v>1.77</v>
      </c>
      <c r="CA833" s="1">
        <v>38</v>
      </c>
      <c r="CB833" s="1">
        <v>13</v>
      </c>
      <c r="CC833" s="1">
        <v>2</v>
      </c>
      <c r="CE833" s="1">
        <v>380</v>
      </c>
    </row>
    <row r="834" spans="1:83" x14ac:dyDescent="0.2">
      <c r="A834" s="1" t="s">
        <v>5008</v>
      </c>
      <c r="B834" s="1" t="s">
        <v>57</v>
      </c>
      <c r="C834" s="1" t="s">
        <v>5004</v>
      </c>
      <c r="E834" s="1">
        <v>57</v>
      </c>
      <c r="F834" s="1" t="s">
        <v>1940</v>
      </c>
      <c r="H834" s="1" t="s">
        <v>5009</v>
      </c>
      <c r="I834" s="1" t="s">
        <v>7</v>
      </c>
      <c r="J834" s="1" t="s">
        <v>1942</v>
      </c>
      <c r="K834" s="1" t="s">
        <v>1943</v>
      </c>
      <c r="L834" s="1" t="s">
        <v>1942</v>
      </c>
      <c r="M834" s="1" t="s">
        <v>5006</v>
      </c>
      <c r="Q834" s="1">
        <v>2009</v>
      </c>
      <c r="R834" s="1" t="s">
        <v>5007</v>
      </c>
      <c r="S834" s="1" t="s">
        <v>27</v>
      </c>
      <c r="T834" s="6">
        <v>1</v>
      </c>
      <c r="AX834" s="1">
        <v>1330</v>
      </c>
      <c r="AY834" s="1">
        <v>13.6</v>
      </c>
      <c r="AZ834" s="1">
        <v>267</v>
      </c>
      <c r="BD834" s="1">
        <v>0.15</v>
      </c>
      <c r="BF834" s="1">
        <v>0.17</v>
      </c>
      <c r="BH834" s="1">
        <v>261</v>
      </c>
      <c r="BJ834" s="1">
        <v>43.5</v>
      </c>
      <c r="BK834" s="1">
        <v>1.6E-2</v>
      </c>
      <c r="BM834" s="1">
        <v>157</v>
      </c>
      <c r="BO834" s="1">
        <v>2</v>
      </c>
      <c r="BP834" s="1">
        <v>260</v>
      </c>
      <c r="BQ834" s="1">
        <v>6.8000000000000005E-2</v>
      </c>
      <c r="BR834" s="1">
        <v>229</v>
      </c>
      <c r="BS834" s="1" t="s">
        <v>15</v>
      </c>
      <c r="BW834" s="1">
        <v>1.26</v>
      </c>
      <c r="CA834" s="1">
        <v>4</v>
      </c>
      <c r="CB834" s="1">
        <v>5</v>
      </c>
      <c r="CC834" s="1">
        <v>10</v>
      </c>
      <c r="CE834" s="1">
        <v>180</v>
      </c>
    </row>
    <row r="835" spans="1:83" x14ac:dyDescent="0.2">
      <c r="A835" s="1" t="s">
        <v>5010</v>
      </c>
      <c r="B835" s="1" t="s">
        <v>57</v>
      </c>
      <c r="C835" s="1" t="s">
        <v>5004</v>
      </c>
      <c r="E835" s="1">
        <v>57</v>
      </c>
      <c r="F835" s="1" t="s">
        <v>1902</v>
      </c>
      <c r="H835" s="1" t="s">
        <v>5011</v>
      </c>
      <c r="I835" s="1" t="s">
        <v>7</v>
      </c>
      <c r="J835" s="1" t="s">
        <v>1904</v>
      </c>
      <c r="K835" s="1" t="s">
        <v>1905</v>
      </c>
      <c r="L835" s="1" t="s">
        <v>1904</v>
      </c>
      <c r="M835" s="1" t="s">
        <v>5006</v>
      </c>
      <c r="Q835" s="1">
        <v>2009</v>
      </c>
      <c r="R835" s="1" t="s">
        <v>5007</v>
      </c>
      <c r="S835" s="1" t="s">
        <v>27</v>
      </c>
      <c r="T835" s="6">
        <v>1</v>
      </c>
      <c r="AX835" s="1">
        <v>2150</v>
      </c>
      <c r="AY835" s="1">
        <v>13.4</v>
      </c>
      <c r="AZ835" s="1">
        <v>439</v>
      </c>
      <c r="BD835" s="1">
        <v>0.45</v>
      </c>
      <c r="BF835" s="1">
        <v>0.14000000000000001</v>
      </c>
      <c r="BH835" s="1">
        <v>289</v>
      </c>
      <c r="BJ835" s="1">
        <v>56.7</v>
      </c>
      <c r="BK835" s="1">
        <v>1.0999999999999999E-2</v>
      </c>
      <c r="BM835" s="1">
        <v>266</v>
      </c>
      <c r="BO835" s="1">
        <v>5</v>
      </c>
      <c r="BP835" s="1">
        <v>249</v>
      </c>
      <c r="BQ835" s="1">
        <v>7.6999999999999999E-2</v>
      </c>
      <c r="BR835" s="1">
        <v>338</v>
      </c>
      <c r="BS835" s="1" t="s">
        <v>15</v>
      </c>
      <c r="BW835" s="1">
        <v>1.77</v>
      </c>
      <c r="CA835" s="1">
        <v>31</v>
      </c>
      <c r="CB835" s="1">
        <v>15</v>
      </c>
      <c r="CC835" s="1">
        <v>4</v>
      </c>
      <c r="CE835" s="1">
        <v>230</v>
      </c>
    </row>
    <row r="836" spans="1:83" x14ac:dyDescent="0.2">
      <c r="A836" s="1" t="s">
        <v>5012</v>
      </c>
      <c r="B836" s="1" t="s">
        <v>55</v>
      </c>
      <c r="C836" s="1" t="s">
        <v>237</v>
      </c>
      <c r="E836" s="1">
        <v>25</v>
      </c>
      <c r="F836" s="1" t="s">
        <v>5013</v>
      </c>
      <c r="H836" s="1" t="s">
        <v>5014</v>
      </c>
      <c r="I836" s="1" t="s">
        <v>7</v>
      </c>
      <c r="J836" s="1" t="s">
        <v>5015</v>
      </c>
      <c r="K836" s="1" t="s">
        <v>5016</v>
      </c>
      <c r="L836" s="1" t="s">
        <v>5015</v>
      </c>
      <c r="P836" s="1" t="s">
        <v>5017</v>
      </c>
      <c r="Q836" s="1">
        <v>2002</v>
      </c>
      <c r="R836" s="1" t="s">
        <v>5018</v>
      </c>
      <c r="S836" s="1" t="s">
        <v>27</v>
      </c>
      <c r="T836" s="6">
        <v>1</v>
      </c>
      <c r="V836" s="1">
        <v>422</v>
      </c>
      <c r="Z836" s="1">
        <v>78</v>
      </c>
      <c r="AA836" s="1">
        <v>6.25</v>
      </c>
      <c r="AC836" s="1">
        <v>18</v>
      </c>
      <c r="AI836" s="1">
        <v>2</v>
      </c>
      <c r="AV836" s="1">
        <v>1.2</v>
      </c>
      <c r="AY836" s="1">
        <v>11</v>
      </c>
      <c r="BD836" s="1">
        <v>7.0000000000000007E-2</v>
      </c>
      <c r="BF836" s="1">
        <v>0.3</v>
      </c>
      <c r="BH836" s="1">
        <v>309</v>
      </c>
      <c r="BJ836" s="1">
        <v>30</v>
      </c>
      <c r="BK836" s="1">
        <v>0.01</v>
      </c>
      <c r="BM836" s="1">
        <v>56</v>
      </c>
      <c r="BP836" s="1">
        <v>220</v>
      </c>
      <c r="BS836" s="1">
        <v>10</v>
      </c>
      <c r="BW836" s="1">
        <v>0.4</v>
      </c>
    </row>
    <row r="837" spans="1:83" x14ac:dyDescent="0.2">
      <c r="A837" s="1" t="s">
        <v>5019</v>
      </c>
      <c r="B837" s="1" t="s">
        <v>55</v>
      </c>
      <c r="C837" s="1" t="s">
        <v>237</v>
      </c>
      <c r="E837" s="1">
        <v>25</v>
      </c>
      <c r="F837" s="1" t="s">
        <v>5013</v>
      </c>
      <c r="H837" s="1" t="s">
        <v>5014</v>
      </c>
      <c r="I837" s="1" t="s">
        <v>7</v>
      </c>
      <c r="J837" s="1" t="s">
        <v>5015</v>
      </c>
      <c r="K837" s="1" t="s">
        <v>5016</v>
      </c>
      <c r="L837" s="1" t="s">
        <v>5015</v>
      </c>
      <c r="P837" s="1" t="s">
        <v>5017</v>
      </c>
      <c r="Q837" s="1">
        <v>2002</v>
      </c>
      <c r="R837" s="1" t="s">
        <v>5018</v>
      </c>
      <c r="S837" s="1" t="s">
        <v>27</v>
      </c>
      <c r="T837" s="6">
        <v>1</v>
      </c>
      <c r="V837" s="1">
        <v>494</v>
      </c>
      <c r="Z837" s="1">
        <v>76</v>
      </c>
      <c r="AA837" s="1">
        <v>6.25</v>
      </c>
      <c r="AC837" s="1">
        <v>21</v>
      </c>
      <c r="AI837" s="1">
        <v>3.3</v>
      </c>
      <c r="AV837" s="1">
        <v>1.17</v>
      </c>
      <c r="AY837" s="1">
        <v>7</v>
      </c>
      <c r="BD837" s="1">
        <v>0.1</v>
      </c>
      <c r="BF837" s="1">
        <v>0.7</v>
      </c>
      <c r="BJ837" s="1">
        <v>29</v>
      </c>
      <c r="BK837" s="1">
        <v>0.01</v>
      </c>
      <c r="BM837" s="1">
        <v>66</v>
      </c>
      <c r="BP837" s="1">
        <v>313</v>
      </c>
      <c r="BW837" s="1">
        <v>0.6</v>
      </c>
    </row>
    <row r="838" spans="1:83" x14ac:dyDescent="0.2">
      <c r="A838" s="1" t="s">
        <v>5020</v>
      </c>
      <c r="B838" s="1" t="s">
        <v>55</v>
      </c>
      <c r="C838" s="1" t="s">
        <v>237</v>
      </c>
      <c r="E838" s="1">
        <v>32</v>
      </c>
      <c r="F838" s="1" t="s">
        <v>1870</v>
      </c>
      <c r="H838" s="1" t="s">
        <v>5021</v>
      </c>
      <c r="I838" s="1" t="s">
        <v>7</v>
      </c>
      <c r="J838" s="1" t="s">
        <v>5022</v>
      </c>
      <c r="K838" s="1" t="s">
        <v>5023</v>
      </c>
      <c r="L838" s="1" t="s">
        <v>5024</v>
      </c>
      <c r="P838" s="1" t="s">
        <v>5017</v>
      </c>
      <c r="Q838" s="1">
        <v>2002</v>
      </c>
      <c r="R838" s="1" t="s">
        <v>5018</v>
      </c>
      <c r="S838" s="1" t="s">
        <v>27</v>
      </c>
      <c r="T838" s="6">
        <v>1</v>
      </c>
      <c r="Z838" s="1">
        <v>77</v>
      </c>
      <c r="AA838" s="1">
        <v>6.25</v>
      </c>
      <c r="AY838" s="1">
        <v>43</v>
      </c>
      <c r="BD838" s="1">
        <v>0.05</v>
      </c>
      <c r="BF838" s="1">
        <v>0.25</v>
      </c>
      <c r="BH838" s="1">
        <v>404</v>
      </c>
      <c r="BJ838" s="1">
        <v>26</v>
      </c>
      <c r="BK838" s="1">
        <v>0.01</v>
      </c>
      <c r="BM838" s="1">
        <v>89</v>
      </c>
      <c r="BP838" s="1">
        <v>166</v>
      </c>
      <c r="BS838" s="1" t="s">
        <v>15</v>
      </c>
      <c r="BW838" s="1">
        <v>0.37</v>
      </c>
    </row>
    <row r="839" spans="1:83" x14ac:dyDescent="0.2">
      <c r="A839" s="1" t="s">
        <v>5025</v>
      </c>
      <c r="B839" s="1" t="s">
        <v>55</v>
      </c>
      <c r="C839" s="1" t="s">
        <v>237</v>
      </c>
      <c r="E839" s="1">
        <v>32</v>
      </c>
      <c r="F839" s="1" t="s">
        <v>1870</v>
      </c>
      <c r="H839" s="1" t="s">
        <v>5026</v>
      </c>
      <c r="I839" s="1" t="s">
        <v>11</v>
      </c>
      <c r="J839" s="1" t="s">
        <v>5022</v>
      </c>
      <c r="K839" s="1" t="s">
        <v>5023</v>
      </c>
      <c r="L839" s="1" t="s">
        <v>5024</v>
      </c>
      <c r="P839" s="1" t="s">
        <v>5017</v>
      </c>
      <c r="Q839" s="1">
        <v>2002</v>
      </c>
      <c r="R839" s="1" t="s">
        <v>5018</v>
      </c>
      <c r="S839" s="1" t="s">
        <v>27</v>
      </c>
      <c r="T839" s="6">
        <v>1</v>
      </c>
      <c r="Z839" s="1">
        <v>60</v>
      </c>
      <c r="AA839" s="1">
        <v>6.25</v>
      </c>
      <c r="AY839" s="1">
        <v>128</v>
      </c>
      <c r="BD839" s="1">
        <v>0.12</v>
      </c>
      <c r="BF839" s="1">
        <v>0.25</v>
      </c>
      <c r="BH839" s="1">
        <v>373</v>
      </c>
      <c r="BJ839" s="1">
        <v>46</v>
      </c>
      <c r="BK839" s="1">
        <v>0.03</v>
      </c>
      <c r="BM839" s="1">
        <v>3521</v>
      </c>
      <c r="BP839" s="1">
        <v>172</v>
      </c>
      <c r="BS839" s="1">
        <v>30</v>
      </c>
      <c r="BW839" s="1">
        <v>0.76</v>
      </c>
    </row>
    <row r="840" spans="1:83" x14ac:dyDescent="0.2">
      <c r="A840" s="1" t="s">
        <v>5027</v>
      </c>
      <c r="B840" s="1" t="s">
        <v>55</v>
      </c>
      <c r="C840" s="1" t="s">
        <v>237</v>
      </c>
      <c r="E840" s="1">
        <v>23</v>
      </c>
      <c r="F840" s="1" t="s">
        <v>5028</v>
      </c>
      <c r="H840" s="1" t="s">
        <v>5029</v>
      </c>
      <c r="I840" s="1" t="s">
        <v>11</v>
      </c>
      <c r="J840" s="1" t="s">
        <v>5030</v>
      </c>
      <c r="K840" s="1" t="s">
        <v>5031</v>
      </c>
      <c r="L840" s="1" t="s">
        <v>5030</v>
      </c>
      <c r="P840" s="1" t="s">
        <v>5017</v>
      </c>
      <c r="Q840" s="1">
        <v>2002</v>
      </c>
      <c r="R840" s="1" t="s">
        <v>5018</v>
      </c>
      <c r="S840" s="1" t="s">
        <v>27</v>
      </c>
      <c r="T840" s="6">
        <v>1</v>
      </c>
      <c r="W840" s="1">
        <v>445</v>
      </c>
      <c r="Z840" s="1">
        <v>74</v>
      </c>
      <c r="AA840" s="1">
        <v>6.25</v>
      </c>
      <c r="AC840" s="1">
        <v>22</v>
      </c>
      <c r="AI840" s="1">
        <v>1.7</v>
      </c>
      <c r="AV840" s="1">
        <v>1.2</v>
      </c>
      <c r="AY840" s="1">
        <v>39</v>
      </c>
      <c r="BD840" s="1">
        <v>0.08</v>
      </c>
      <c r="BF840" s="1">
        <v>0.6</v>
      </c>
      <c r="BJ840" s="1">
        <v>73</v>
      </c>
      <c r="BK840" s="1">
        <v>0.02</v>
      </c>
      <c r="BS840" s="1">
        <v>60</v>
      </c>
      <c r="BW840" s="1">
        <v>1.3</v>
      </c>
    </row>
    <row r="841" spans="1:83" x14ac:dyDescent="0.2">
      <c r="A841" s="1" t="s">
        <v>5032</v>
      </c>
      <c r="B841" s="1" t="s">
        <v>55</v>
      </c>
      <c r="C841" s="1" t="s">
        <v>237</v>
      </c>
      <c r="E841" s="1">
        <v>23</v>
      </c>
      <c r="F841" s="1" t="s">
        <v>5028</v>
      </c>
      <c r="H841" s="1" t="s">
        <v>5033</v>
      </c>
      <c r="I841" s="1" t="s">
        <v>7</v>
      </c>
      <c r="J841" s="1" t="s">
        <v>5030</v>
      </c>
      <c r="K841" s="1" t="s">
        <v>5031</v>
      </c>
      <c r="L841" s="1" t="s">
        <v>5030</v>
      </c>
      <c r="P841" s="1" t="s">
        <v>5017</v>
      </c>
      <c r="Q841" s="1">
        <v>2002</v>
      </c>
      <c r="R841" s="1" t="s">
        <v>5018</v>
      </c>
      <c r="S841" s="1" t="s">
        <v>27</v>
      </c>
      <c r="T841" s="6">
        <v>1</v>
      </c>
      <c r="V841" s="1">
        <v>406</v>
      </c>
      <c r="Z841" s="1">
        <v>77</v>
      </c>
      <c r="AA841" s="1">
        <v>6.25</v>
      </c>
      <c r="AC841" s="1">
        <v>20</v>
      </c>
      <c r="AI841" s="1">
        <v>1.9</v>
      </c>
      <c r="AV841" s="1">
        <v>1.4</v>
      </c>
      <c r="AY841" s="1">
        <v>31</v>
      </c>
      <c r="BD841" s="1">
        <v>0.1</v>
      </c>
      <c r="BF841" s="1">
        <v>1</v>
      </c>
      <c r="BJ841" s="1">
        <v>63</v>
      </c>
      <c r="BK841" s="1">
        <v>0.04</v>
      </c>
      <c r="BS841" s="1">
        <v>100</v>
      </c>
      <c r="BW841" s="1">
        <v>0.7</v>
      </c>
    </row>
    <row r="842" spans="1:83" x14ac:dyDescent="0.2">
      <c r="A842" s="1" t="s">
        <v>5034</v>
      </c>
      <c r="B842" s="1" t="s">
        <v>55</v>
      </c>
      <c r="C842" s="1" t="s">
        <v>237</v>
      </c>
      <c r="E842" s="1">
        <v>23</v>
      </c>
      <c r="F842" s="1" t="s">
        <v>5035</v>
      </c>
      <c r="H842" s="1" t="s">
        <v>5036</v>
      </c>
      <c r="I842" s="1" t="s">
        <v>7</v>
      </c>
      <c r="J842" s="1" t="s">
        <v>5037</v>
      </c>
      <c r="K842" s="1" t="s">
        <v>5038</v>
      </c>
      <c r="L842" s="1" t="s">
        <v>5039</v>
      </c>
      <c r="P842" s="1" t="s">
        <v>5017</v>
      </c>
      <c r="Q842" s="1">
        <v>2002</v>
      </c>
      <c r="R842" s="1" t="s">
        <v>5018</v>
      </c>
      <c r="S842" s="1" t="s">
        <v>27</v>
      </c>
      <c r="T842" s="6">
        <v>1</v>
      </c>
      <c r="V842" s="1" t="s">
        <v>5040</v>
      </c>
      <c r="Z842" s="1" t="s">
        <v>5041</v>
      </c>
      <c r="AA842" s="1">
        <v>6.25</v>
      </c>
      <c r="AC842" s="1" t="s">
        <v>5042</v>
      </c>
      <c r="AI842" s="1" t="s">
        <v>4165</v>
      </c>
      <c r="AV842" s="1" t="s">
        <v>1570</v>
      </c>
      <c r="AY842" s="1">
        <v>40</v>
      </c>
      <c r="BD842" s="1">
        <v>0.5</v>
      </c>
      <c r="BF842" s="1">
        <v>1.6</v>
      </c>
      <c r="BJ842" s="1">
        <v>53</v>
      </c>
      <c r="BK842" s="1">
        <v>0.03</v>
      </c>
      <c r="BS842" s="1">
        <v>80</v>
      </c>
      <c r="BW842" s="1">
        <v>2</v>
      </c>
    </row>
    <row r="843" spans="1:83" x14ac:dyDescent="0.2">
      <c r="A843" s="1" t="s">
        <v>5043</v>
      </c>
      <c r="B843" s="1" t="s">
        <v>55</v>
      </c>
      <c r="C843" s="1" t="s">
        <v>237</v>
      </c>
      <c r="E843" s="1">
        <v>23</v>
      </c>
      <c r="F843" s="1" t="s">
        <v>5035</v>
      </c>
      <c r="H843" s="1" t="s">
        <v>5044</v>
      </c>
      <c r="I843" s="1" t="s">
        <v>11</v>
      </c>
      <c r="J843" s="1" t="s">
        <v>5037</v>
      </c>
      <c r="K843" s="1" t="s">
        <v>5038</v>
      </c>
      <c r="L843" s="1" t="s">
        <v>5039</v>
      </c>
      <c r="P843" s="1" t="s">
        <v>5017</v>
      </c>
      <c r="Q843" s="1">
        <v>2002</v>
      </c>
      <c r="R843" s="1" t="s">
        <v>5018</v>
      </c>
      <c r="S843" s="1" t="s">
        <v>27</v>
      </c>
      <c r="T843" s="6">
        <v>1</v>
      </c>
      <c r="W843" s="1">
        <v>613</v>
      </c>
      <c r="Z843" s="1">
        <v>70</v>
      </c>
      <c r="AA843" s="1">
        <v>6.25</v>
      </c>
      <c r="AC843" s="1">
        <v>22</v>
      </c>
      <c r="AI843" s="1">
        <v>6</v>
      </c>
      <c r="AV843" s="1">
        <v>0.9</v>
      </c>
      <c r="AY843" s="1">
        <v>32</v>
      </c>
      <c r="BD843" s="1">
        <v>7.0000000000000007E-2</v>
      </c>
      <c r="BF843" s="1">
        <v>0.7</v>
      </c>
      <c r="BJ843" s="1">
        <v>23</v>
      </c>
      <c r="BK843" s="1">
        <v>0.05</v>
      </c>
      <c r="BS843" s="1">
        <v>30</v>
      </c>
      <c r="BW843" s="1">
        <v>0.6</v>
      </c>
    </row>
    <row r="844" spans="1:83" x14ac:dyDescent="0.2">
      <c r="A844" s="1" t="s">
        <v>5045</v>
      </c>
      <c r="B844" s="1" t="s">
        <v>55</v>
      </c>
      <c r="C844" s="1" t="s">
        <v>237</v>
      </c>
      <c r="E844" s="1">
        <v>23</v>
      </c>
      <c r="F844" s="1" t="s">
        <v>5035</v>
      </c>
      <c r="H844" s="1" t="s">
        <v>5046</v>
      </c>
      <c r="I844" s="1" t="s">
        <v>7</v>
      </c>
      <c r="J844" s="1" t="s">
        <v>5037</v>
      </c>
      <c r="K844" s="1" t="s">
        <v>5038</v>
      </c>
      <c r="L844" s="1" t="s">
        <v>5039</v>
      </c>
      <c r="P844" s="1" t="s">
        <v>5017</v>
      </c>
      <c r="Q844" s="1">
        <v>2002</v>
      </c>
      <c r="R844" s="1" t="s">
        <v>5018</v>
      </c>
      <c r="S844" s="1" t="s">
        <v>27</v>
      </c>
      <c r="T844" s="6">
        <v>1</v>
      </c>
      <c r="V844" s="1">
        <v>523</v>
      </c>
      <c r="Z844" s="1">
        <v>75</v>
      </c>
      <c r="AA844" s="1">
        <v>6.25</v>
      </c>
      <c r="AC844" s="1">
        <v>19</v>
      </c>
      <c r="AI844" s="1">
        <v>5</v>
      </c>
      <c r="AV844" s="1">
        <v>0.9</v>
      </c>
      <c r="AY844" s="1">
        <v>6</v>
      </c>
      <c r="BD844" s="1">
        <v>0.1</v>
      </c>
      <c r="BF844" s="1">
        <v>0.9</v>
      </c>
      <c r="BJ844" s="1">
        <v>74</v>
      </c>
      <c r="BK844" s="1">
        <v>0.02</v>
      </c>
      <c r="BS844" s="1">
        <v>30</v>
      </c>
      <c r="BW844" s="1">
        <v>0.5</v>
      </c>
    </row>
    <row r="845" spans="1:83" x14ac:dyDescent="0.2">
      <c r="A845" s="1" t="s">
        <v>5047</v>
      </c>
      <c r="B845" s="1" t="s">
        <v>55</v>
      </c>
      <c r="C845" s="1" t="s">
        <v>237</v>
      </c>
      <c r="E845" s="1">
        <v>23</v>
      </c>
      <c r="F845" s="1" t="s">
        <v>5035</v>
      </c>
      <c r="H845" s="1" t="s">
        <v>5048</v>
      </c>
      <c r="I845" s="1" t="s">
        <v>11</v>
      </c>
      <c r="J845" s="1" t="s">
        <v>5037</v>
      </c>
      <c r="K845" s="1" t="s">
        <v>5038</v>
      </c>
      <c r="L845" s="1" t="s">
        <v>5039</v>
      </c>
      <c r="P845" s="1" t="s">
        <v>5017</v>
      </c>
      <c r="Q845" s="1">
        <v>2002</v>
      </c>
      <c r="R845" s="1" t="s">
        <v>5018</v>
      </c>
      <c r="S845" s="1" t="s">
        <v>27</v>
      </c>
      <c r="T845" s="6">
        <v>1</v>
      </c>
      <c r="W845" s="1">
        <v>1018</v>
      </c>
      <c r="Z845" s="1">
        <v>46</v>
      </c>
      <c r="AA845" s="1">
        <v>6.25</v>
      </c>
      <c r="AC845" s="1">
        <v>42</v>
      </c>
      <c r="AI845" s="1">
        <v>8</v>
      </c>
      <c r="AV845" s="1">
        <v>3</v>
      </c>
      <c r="AY845" s="1">
        <v>25</v>
      </c>
      <c r="BD845" s="1">
        <v>0.2</v>
      </c>
      <c r="BF845" s="1">
        <v>2</v>
      </c>
      <c r="BJ845" s="1">
        <v>143</v>
      </c>
      <c r="BK845" s="1">
        <v>7.0000000000000007E-2</v>
      </c>
      <c r="BS845" s="1">
        <v>50</v>
      </c>
      <c r="BW845" s="1">
        <v>1</v>
      </c>
    </row>
    <row r="846" spans="1:83" x14ac:dyDescent="0.2">
      <c r="A846" s="1" t="s">
        <v>5049</v>
      </c>
      <c r="B846" s="1" t="s">
        <v>55</v>
      </c>
      <c r="C846" s="1" t="s">
        <v>237</v>
      </c>
      <c r="E846" s="1">
        <v>23</v>
      </c>
      <c r="F846" s="1" t="s">
        <v>5035</v>
      </c>
      <c r="H846" s="1" t="s">
        <v>5050</v>
      </c>
      <c r="I846" s="1" t="s">
        <v>11</v>
      </c>
      <c r="J846" s="1" t="s">
        <v>5051</v>
      </c>
      <c r="K846" s="1" t="s">
        <v>5038</v>
      </c>
      <c r="L846" s="1" t="s">
        <v>5039</v>
      </c>
      <c r="P846" s="1" t="s">
        <v>5017</v>
      </c>
      <c r="Q846" s="1">
        <v>2002</v>
      </c>
      <c r="R846" s="1" t="s">
        <v>5018</v>
      </c>
      <c r="S846" s="1" t="s">
        <v>27</v>
      </c>
      <c r="T846" s="6">
        <v>1</v>
      </c>
      <c r="W846" s="1">
        <v>655</v>
      </c>
      <c r="Z846" s="1">
        <v>69</v>
      </c>
      <c r="AA846" s="1">
        <v>6.25</v>
      </c>
      <c r="AC846" s="1">
        <v>23</v>
      </c>
      <c r="AI846" s="1">
        <v>7</v>
      </c>
      <c r="AV846" s="1">
        <v>0.7</v>
      </c>
      <c r="AY846" s="1">
        <v>29</v>
      </c>
      <c r="BD846" s="1">
        <v>0.04</v>
      </c>
      <c r="BF846" s="1">
        <v>0.6</v>
      </c>
      <c r="BJ846" s="1">
        <v>21</v>
      </c>
      <c r="BK846" s="1">
        <v>0.06</v>
      </c>
      <c r="BS846" s="1">
        <v>60</v>
      </c>
      <c r="BW846" s="1">
        <v>0.6</v>
      </c>
    </row>
    <row r="847" spans="1:83" x14ac:dyDescent="0.2">
      <c r="A847" s="1" t="s">
        <v>5052</v>
      </c>
      <c r="B847" s="1" t="s">
        <v>55</v>
      </c>
      <c r="C847" s="1" t="s">
        <v>237</v>
      </c>
      <c r="E847" s="1">
        <v>23</v>
      </c>
      <c r="F847" s="1" t="s">
        <v>5035</v>
      </c>
      <c r="H847" s="1" t="s">
        <v>5050</v>
      </c>
      <c r="I847" s="1" t="s">
        <v>11</v>
      </c>
      <c r="J847" s="1" t="s">
        <v>5051</v>
      </c>
      <c r="K847" s="1" t="s">
        <v>5038</v>
      </c>
      <c r="L847" s="1" t="s">
        <v>5039</v>
      </c>
      <c r="P847" s="1" t="s">
        <v>5017</v>
      </c>
      <c r="Q847" s="1">
        <v>2002</v>
      </c>
      <c r="R847" s="1" t="s">
        <v>5018</v>
      </c>
      <c r="S847" s="1" t="s">
        <v>27</v>
      </c>
      <c r="T847" s="6">
        <v>1</v>
      </c>
      <c r="W847" s="1">
        <v>540</v>
      </c>
      <c r="Z847" s="1">
        <v>72</v>
      </c>
      <c r="AA847" s="1">
        <v>6.25</v>
      </c>
      <c r="AC847" s="1">
        <v>21</v>
      </c>
      <c r="AI847" s="1">
        <v>4.2</v>
      </c>
      <c r="AV847" s="1">
        <v>1.2</v>
      </c>
      <c r="AY847" s="1">
        <v>12</v>
      </c>
      <c r="BD847" s="1">
        <v>0.05</v>
      </c>
      <c r="BF847" s="1">
        <v>0.7</v>
      </c>
      <c r="BH847" s="1">
        <v>410</v>
      </c>
      <c r="BJ847" s="1">
        <v>26</v>
      </c>
      <c r="BK847" s="1">
        <v>0.01</v>
      </c>
      <c r="BM847" s="1">
        <v>50</v>
      </c>
      <c r="BP847" s="1">
        <v>220</v>
      </c>
      <c r="BW847" s="1">
        <v>0.6</v>
      </c>
    </row>
    <row r="848" spans="1:83" x14ac:dyDescent="0.2">
      <c r="A848" s="1" t="s">
        <v>5053</v>
      </c>
      <c r="B848" s="1" t="s">
        <v>55</v>
      </c>
      <c r="C848" s="1" t="s">
        <v>237</v>
      </c>
      <c r="E848" s="1">
        <v>23</v>
      </c>
      <c r="F848" s="1" t="s">
        <v>5035</v>
      </c>
      <c r="H848" s="1" t="s">
        <v>5054</v>
      </c>
      <c r="I848" s="1" t="s">
        <v>7</v>
      </c>
      <c r="J848" s="1" t="s">
        <v>5051</v>
      </c>
      <c r="K848" s="1" t="s">
        <v>5038</v>
      </c>
      <c r="L848" s="1" t="s">
        <v>5039</v>
      </c>
      <c r="P848" s="1" t="s">
        <v>5017</v>
      </c>
      <c r="Q848" s="1">
        <v>2002</v>
      </c>
      <c r="R848" s="1" t="s">
        <v>5018</v>
      </c>
      <c r="S848" s="1" t="s">
        <v>27</v>
      </c>
      <c r="T848" s="6">
        <v>1</v>
      </c>
      <c r="V848" s="1">
        <v>474</v>
      </c>
      <c r="Z848" s="1">
        <v>75</v>
      </c>
      <c r="AA848" s="1">
        <v>6.25</v>
      </c>
      <c r="AC848" s="1">
        <v>19</v>
      </c>
      <c r="AI848" s="1">
        <v>3</v>
      </c>
      <c r="AV848" s="1">
        <v>0.9</v>
      </c>
      <c r="AY848" s="1">
        <v>38</v>
      </c>
      <c r="BD848" s="1">
        <v>0.03</v>
      </c>
      <c r="BF848" s="1">
        <v>0.4</v>
      </c>
      <c r="BH848" s="1">
        <v>273</v>
      </c>
      <c r="BJ848" s="1">
        <v>26</v>
      </c>
      <c r="BK848" s="1">
        <v>0.01</v>
      </c>
      <c r="BM848" s="1">
        <v>50</v>
      </c>
      <c r="BP848" s="1">
        <v>240</v>
      </c>
      <c r="BS848" s="1">
        <v>30</v>
      </c>
      <c r="BW848" s="1">
        <v>0.4</v>
      </c>
    </row>
    <row r="849" spans="1:148" x14ac:dyDescent="0.2">
      <c r="A849" s="1" t="s">
        <v>5055</v>
      </c>
      <c r="B849" s="1" t="s">
        <v>55</v>
      </c>
      <c r="C849" s="1" t="s">
        <v>237</v>
      </c>
      <c r="E849" s="1">
        <v>23</v>
      </c>
      <c r="F849" s="1" t="s">
        <v>5035</v>
      </c>
      <c r="H849" s="1" t="s">
        <v>5054</v>
      </c>
      <c r="I849" s="1" t="s">
        <v>7</v>
      </c>
      <c r="J849" s="1" t="s">
        <v>5051</v>
      </c>
      <c r="K849" s="1" t="s">
        <v>5038</v>
      </c>
      <c r="L849" s="1" t="s">
        <v>5039</v>
      </c>
      <c r="P849" s="1" t="s">
        <v>5017</v>
      </c>
      <c r="Q849" s="1">
        <v>2002</v>
      </c>
      <c r="R849" s="1" t="s">
        <v>5018</v>
      </c>
      <c r="S849" s="1" t="s">
        <v>27</v>
      </c>
      <c r="T849" s="6">
        <v>1</v>
      </c>
      <c r="V849" s="1">
        <v>528</v>
      </c>
      <c r="Z849" s="1">
        <v>75</v>
      </c>
      <c r="AA849" s="1">
        <v>6.25</v>
      </c>
      <c r="AC849" s="1">
        <v>21</v>
      </c>
      <c r="AI849" s="1">
        <v>3.9</v>
      </c>
      <c r="AV849" s="1">
        <v>1.2</v>
      </c>
      <c r="AY849" s="1">
        <v>7</v>
      </c>
      <c r="BD849" s="1">
        <v>0.05</v>
      </c>
      <c r="BF849" s="1">
        <v>0.5</v>
      </c>
      <c r="BH849" s="1">
        <v>440</v>
      </c>
      <c r="BJ849" s="1">
        <v>27</v>
      </c>
      <c r="BK849" s="1">
        <v>0.01</v>
      </c>
      <c r="BM849" s="1">
        <v>45</v>
      </c>
      <c r="BP849" s="1">
        <v>231</v>
      </c>
      <c r="BW849" s="1">
        <v>0.4</v>
      </c>
    </row>
    <row r="850" spans="1:148" x14ac:dyDescent="0.2">
      <c r="A850" s="1" t="s">
        <v>5056</v>
      </c>
      <c r="B850" s="1" t="s">
        <v>55</v>
      </c>
      <c r="C850" s="1" t="s">
        <v>237</v>
      </c>
      <c r="E850" s="1">
        <v>23</v>
      </c>
      <c r="F850" s="1" t="s">
        <v>5035</v>
      </c>
      <c r="H850" s="1" t="s">
        <v>5057</v>
      </c>
      <c r="I850" s="1" t="s">
        <v>11</v>
      </c>
      <c r="J850" s="1" t="s">
        <v>5051</v>
      </c>
      <c r="K850" s="1" t="s">
        <v>5038</v>
      </c>
      <c r="L850" s="1" t="s">
        <v>5039</v>
      </c>
      <c r="P850" s="1" t="s">
        <v>5017</v>
      </c>
      <c r="Q850" s="1">
        <v>2002</v>
      </c>
      <c r="R850" s="1" t="s">
        <v>5018</v>
      </c>
      <c r="S850" s="1" t="s">
        <v>27</v>
      </c>
      <c r="T850" s="6">
        <v>1</v>
      </c>
      <c r="W850" s="1">
        <v>393</v>
      </c>
      <c r="Z850" s="1">
        <v>77</v>
      </c>
      <c r="AA850" s="1">
        <v>6.25</v>
      </c>
      <c r="AC850" s="1">
        <v>19</v>
      </c>
      <c r="AI850" s="1">
        <v>1.7</v>
      </c>
      <c r="AV850" s="1">
        <v>1.36</v>
      </c>
      <c r="AY850" s="1">
        <v>15</v>
      </c>
      <c r="BD850" s="1">
        <v>0.04</v>
      </c>
      <c r="BF850" s="1">
        <v>0.47</v>
      </c>
      <c r="BK850" s="1">
        <v>0.02</v>
      </c>
      <c r="BS850" s="1">
        <v>60</v>
      </c>
      <c r="BW850" s="1">
        <v>0.51</v>
      </c>
    </row>
    <row r="851" spans="1:148" x14ac:dyDescent="0.2">
      <c r="A851" s="1" t="s">
        <v>5058</v>
      </c>
      <c r="B851" s="1" t="s">
        <v>55</v>
      </c>
      <c r="C851" s="1" t="s">
        <v>237</v>
      </c>
      <c r="E851" s="1">
        <v>23</v>
      </c>
      <c r="F851" s="1" t="s">
        <v>5059</v>
      </c>
      <c r="H851" s="1" t="s">
        <v>5060</v>
      </c>
      <c r="I851" s="1" t="s">
        <v>11</v>
      </c>
      <c r="J851" s="1" t="s">
        <v>5061</v>
      </c>
      <c r="K851" s="1" t="s">
        <v>5062</v>
      </c>
      <c r="L851" s="1" t="s">
        <v>5063</v>
      </c>
      <c r="P851" s="1" t="s">
        <v>5017</v>
      </c>
      <c r="Q851" s="1">
        <v>2002</v>
      </c>
      <c r="R851" s="1" t="s">
        <v>5018</v>
      </c>
      <c r="S851" s="1" t="s">
        <v>27</v>
      </c>
      <c r="T851" s="6">
        <v>1</v>
      </c>
      <c r="W851" s="1">
        <v>640</v>
      </c>
      <c r="Z851" s="1">
        <v>69</v>
      </c>
      <c r="AA851" s="1">
        <v>6.25</v>
      </c>
      <c r="AC851" s="1">
        <v>23</v>
      </c>
      <c r="AI851" s="1">
        <v>6</v>
      </c>
      <c r="AV851" s="1" t="s">
        <v>5064</v>
      </c>
      <c r="AY851" s="1" t="s">
        <v>2548</v>
      </c>
      <c r="BD851" s="1" t="s">
        <v>5065</v>
      </c>
      <c r="BF851" s="1" t="s">
        <v>5066</v>
      </c>
      <c r="BH851" s="1" t="s">
        <v>5067</v>
      </c>
      <c r="BJ851" s="1" t="s">
        <v>5068</v>
      </c>
      <c r="BK851" s="1" t="s">
        <v>5069</v>
      </c>
      <c r="BM851" s="1" t="s">
        <v>5070</v>
      </c>
      <c r="BP851" s="1" t="s">
        <v>5071</v>
      </c>
      <c r="BS851" s="1" t="s">
        <v>4165</v>
      </c>
      <c r="BW851" s="1" t="s">
        <v>5065</v>
      </c>
    </row>
    <row r="852" spans="1:148" x14ac:dyDescent="0.2">
      <c r="A852" s="1" t="s">
        <v>5072</v>
      </c>
      <c r="B852" s="1" t="s">
        <v>55</v>
      </c>
      <c r="C852" s="1" t="s">
        <v>237</v>
      </c>
      <c r="E852" s="1">
        <v>23</v>
      </c>
      <c r="F852" s="1" t="s">
        <v>5059</v>
      </c>
      <c r="H852" s="1" t="s">
        <v>5060</v>
      </c>
      <c r="I852" s="1" t="s">
        <v>11</v>
      </c>
      <c r="J852" s="1" t="s">
        <v>5061</v>
      </c>
      <c r="K852" s="1" t="s">
        <v>5062</v>
      </c>
      <c r="L852" s="1" t="s">
        <v>5063</v>
      </c>
      <c r="P852" s="1" t="s">
        <v>5017</v>
      </c>
      <c r="Q852" s="1">
        <v>2002</v>
      </c>
      <c r="R852" s="1" t="s">
        <v>5018</v>
      </c>
      <c r="S852" s="1" t="s">
        <v>27</v>
      </c>
      <c r="T852" s="6">
        <v>1</v>
      </c>
      <c r="W852" s="1">
        <v>477</v>
      </c>
      <c r="Z852" s="1">
        <v>75</v>
      </c>
      <c r="AA852" s="1">
        <v>6.25</v>
      </c>
      <c r="AC852" s="1">
        <v>22</v>
      </c>
      <c r="AI852" s="1">
        <v>2.6</v>
      </c>
      <c r="AV852" s="1">
        <v>1.31</v>
      </c>
      <c r="AY852" s="1">
        <v>19</v>
      </c>
      <c r="BD852" s="1">
        <v>0.48</v>
      </c>
      <c r="BF852" s="1">
        <v>0.48</v>
      </c>
      <c r="BH852" s="1">
        <v>409</v>
      </c>
      <c r="BJ852" s="1">
        <v>25</v>
      </c>
      <c r="BK852" s="1">
        <v>0.01</v>
      </c>
      <c r="BM852" s="1">
        <v>48</v>
      </c>
      <c r="BP852" s="1">
        <v>224</v>
      </c>
      <c r="BW852" s="1">
        <v>0.48</v>
      </c>
    </row>
    <row r="853" spans="1:148" x14ac:dyDescent="0.2">
      <c r="A853" s="1" t="s">
        <v>5073</v>
      </c>
      <c r="B853" s="1" t="s">
        <v>55</v>
      </c>
      <c r="C853" s="1" t="s">
        <v>237</v>
      </c>
      <c r="E853" s="1">
        <v>23</v>
      </c>
      <c r="F853" s="1" t="s">
        <v>5059</v>
      </c>
      <c r="H853" s="1" t="s">
        <v>5074</v>
      </c>
      <c r="I853" s="1" t="s">
        <v>7</v>
      </c>
      <c r="J853" s="1" t="s">
        <v>5061</v>
      </c>
      <c r="K853" s="1" t="s">
        <v>5062</v>
      </c>
      <c r="L853" s="1" t="s">
        <v>5063</v>
      </c>
      <c r="P853" s="1" t="s">
        <v>5017</v>
      </c>
      <c r="Q853" s="1">
        <v>2002</v>
      </c>
      <c r="R853" s="1" t="s">
        <v>5018</v>
      </c>
      <c r="S853" s="1" t="s">
        <v>27</v>
      </c>
      <c r="T853" s="6">
        <v>1</v>
      </c>
      <c r="V853" s="1">
        <v>506</v>
      </c>
      <c r="Z853" s="1">
        <v>74</v>
      </c>
      <c r="AA853" s="1">
        <v>6.25</v>
      </c>
      <c r="AC853" s="1">
        <v>20</v>
      </c>
      <c r="AI853" s="1">
        <v>4</v>
      </c>
      <c r="AV853" s="1">
        <v>1.1000000000000001</v>
      </c>
      <c r="AY853" s="1">
        <v>26</v>
      </c>
      <c r="BD853" s="1">
        <v>0.6</v>
      </c>
      <c r="BF853" s="1">
        <v>0.4</v>
      </c>
      <c r="BH853" s="1">
        <v>514</v>
      </c>
      <c r="BJ853" s="1">
        <v>32</v>
      </c>
      <c r="BK853" s="1">
        <v>0.01</v>
      </c>
      <c r="BM853" s="1">
        <v>45</v>
      </c>
      <c r="BP853" s="1">
        <v>242</v>
      </c>
      <c r="BS853" s="1">
        <v>20</v>
      </c>
      <c r="BW853" s="1">
        <v>0.6</v>
      </c>
    </row>
    <row r="854" spans="1:148" x14ac:dyDescent="0.2">
      <c r="A854" s="1" t="s">
        <v>5075</v>
      </c>
      <c r="B854" s="1" t="s">
        <v>55</v>
      </c>
      <c r="C854" s="1" t="s">
        <v>237</v>
      </c>
      <c r="E854" s="1">
        <v>23</v>
      </c>
      <c r="F854" s="1" t="s">
        <v>5059</v>
      </c>
      <c r="H854" s="1" t="s">
        <v>5074</v>
      </c>
      <c r="I854" s="1" t="s">
        <v>7</v>
      </c>
      <c r="J854" s="1" t="s">
        <v>5061</v>
      </c>
      <c r="K854" s="1" t="s">
        <v>5062</v>
      </c>
      <c r="L854" s="1" t="s">
        <v>5063</v>
      </c>
      <c r="P854" s="1" t="s">
        <v>5017</v>
      </c>
      <c r="Q854" s="1">
        <v>2002</v>
      </c>
      <c r="R854" s="1" t="s">
        <v>5018</v>
      </c>
      <c r="S854" s="1" t="s">
        <v>27</v>
      </c>
      <c r="T854" s="6">
        <v>1</v>
      </c>
      <c r="V854" s="1">
        <v>443</v>
      </c>
      <c r="Z854" s="1">
        <v>77</v>
      </c>
      <c r="AA854" s="1">
        <v>6.25</v>
      </c>
      <c r="AC854" s="1">
        <v>18</v>
      </c>
      <c r="AI854" s="1">
        <v>3.6</v>
      </c>
      <c r="AV854" s="1">
        <v>1.54</v>
      </c>
      <c r="AY854" s="1">
        <v>36</v>
      </c>
      <c r="BD854" s="1">
        <v>0.45</v>
      </c>
      <c r="BF854" s="1">
        <v>0.5</v>
      </c>
      <c r="BH854" s="1">
        <v>396</v>
      </c>
      <c r="BJ854" s="1">
        <v>25</v>
      </c>
      <c r="BK854" s="1">
        <v>0.03</v>
      </c>
      <c r="BM854" s="1">
        <v>44</v>
      </c>
      <c r="BP854" s="1">
        <v>235</v>
      </c>
      <c r="BW854" s="1">
        <v>0.45</v>
      </c>
    </row>
    <row r="855" spans="1:148" x14ac:dyDescent="0.2">
      <c r="A855" s="1" t="s">
        <v>5076</v>
      </c>
      <c r="B855" s="1" t="s">
        <v>57</v>
      </c>
      <c r="C855" s="1" t="s">
        <v>5077</v>
      </c>
      <c r="D855" s="1" t="s">
        <v>2</v>
      </c>
      <c r="E855" s="1">
        <v>54</v>
      </c>
      <c r="F855" s="1" t="s">
        <v>4913</v>
      </c>
      <c r="H855" s="1" t="s">
        <v>5078</v>
      </c>
      <c r="I855" s="1" t="s">
        <v>7</v>
      </c>
      <c r="J855" s="1" t="s">
        <v>4917</v>
      </c>
      <c r="K855" s="1" t="s">
        <v>4916</v>
      </c>
      <c r="L855" s="1" t="s">
        <v>4917</v>
      </c>
      <c r="M855" s="1" t="s">
        <v>5079</v>
      </c>
      <c r="O855" s="1">
        <v>3</v>
      </c>
      <c r="P855" s="1" t="s">
        <v>5080</v>
      </c>
      <c r="Q855" s="1">
        <v>2010</v>
      </c>
      <c r="R855" s="1" t="s">
        <v>5081</v>
      </c>
      <c r="S855" s="1" t="s">
        <v>27</v>
      </c>
      <c r="T855" s="6">
        <v>1</v>
      </c>
      <c r="Z855" s="1">
        <v>73.319999999999993</v>
      </c>
      <c r="AC855" s="1">
        <v>14.18042</v>
      </c>
      <c r="AI855" s="1">
        <v>1.875604</v>
      </c>
      <c r="AK855" s="1">
        <v>0.43415245295999999</v>
      </c>
      <c r="AL855" s="1">
        <v>0.33384826555199998</v>
      </c>
      <c r="AM855" s="1">
        <v>0.73057378291200004</v>
      </c>
      <c r="AS855" s="1">
        <v>5.7522080000000004</v>
      </c>
      <c r="AV855" s="1">
        <v>2.804068</v>
      </c>
      <c r="AY855" s="1">
        <v>37.565440000000002</v>
      </c>
      <c r="BB855" s="1">
        <v>14.4072</v>
      </c>
      <c r="BD855" s="1">
        <v>0.13073199999999999</v>
      </c>
      <c r="BF855" s="1">
        <v>1.7742199999999999</v>
      </c>
      <c r="BJ855" s="1">
        <v>44.1554</v>
      </c>
      <c r="BK855" s="1">
        <v>9.6047999999999994E-2</v>
      </c>
      <c r="BO855" s="1">
        <v>6.4032</v>
      </c>
      <c r="BS855" s="1">
        <v>58.695999999999998</v>
      </c>
      <c r="BW855" s="1">
        <v>1.219276</v>
      </c>
      <c r="BX855" s="1">
        <v>997.83199999999999</v>
      </c>
      <c r="CA855" s="1">
        <v>40.020000000000003</v>
      </c>
      <c r="CC855" s="1">
        <v>16.274799999999999</v>
      </c>
      <c r="DR855" s="1">
        <v>4375.5200000000004</v>
      </c>
      <c r="DS855" s="1">
        <v>12699.68</v>
      </c>
      <c r="DT855" s="1">
        <v>8297.48</v>
      </c>
      <c r="DU855" s="1">
        <v>987.16</v>
      </c>
      <c r="DV855" s="1">
        <v>560.28</v>
      </c>
      <c r="DX855" s="1">
        <v>453.56</v>
      </c>
      <c r="DY855" s="1">
        <v>213.44</v>
      </c>
      <c r="EA855" s="1">
        <v>213.44</v>
      </c>
      <c r="EB855" s="1">
        <v>3575.12</v>
      </c>
      <c r="EC855" s="1">
        <v>80.040000000000006</v>
      </c>
      <c r="EF855" s="1">
        <v>293.48</v>
      </c>
      <c r="EG855" s="1">
        <v>293.48</v>
      </c>
      <c r="EH855" s="1">
        <v>613.64</v>
      </c>
      <c r="EI855" s="1">
        <v>240.12</v>
      </c>
      <c r="EK855" s="1">
        <v>586.96</v>
      </c>
      <c r="EL855" s="1">
        <v>1093.8800000000001</v>
      </c>
      <c r="EM855" s="1">
        <v>1173.92</v>
      </c>
      <c r="EO855" s="1">
        <v>800.4</v>
      </c>
      <c r="EQ855" s="1">
        <v>667</v>
      </c>
      <c r="ER855" s="1">
        <v>933.8</v>
      </c>
    </row>
    <row r="856" spans="1:148" x14ac:dyDescent="0.2">
      <c r="A856" s="1" t="s">
        <v>5082</v>
      </c>
      <c r="B856" s="1" t="s">
        <v>57</v>
      </c>
      <c r="C856" s="1" t="s">
        <v>5077</v>
      </c>
      <c r="D856" s="1" t="s">
        <v>2</v>
      </c>
      <c r="E856" s="1">
        <v>54</v>
      </c>
      <c r="F856" s="1" t="s">
        <v>4913</v>
      </c>
      <c r="H856" s="1" t="s">
        <v>5078</v>
      </c>
      <c r="I856" s="1" t="s">
        <v>7</v>
      </c>
      <c r="J856" s="1" t="s">
        <v>4917</v>
      </c>
      <c r="K856" s="1" t="s">
        <v>4916</v>
      </c>
      <c r="L856" s="1" t="s">
        <v>4917</v>
      </c>
      <c r="M856" s="1" t="s">
        <v>5083</v>
      </c>
      <c r="O856" s="1">
        <v>3</v>
      </c>
      <c r="P856" s="1" t="s">
        <v>5080</v>
      </c>
      <c r="Q856" s="1">
        <v>2010</v>
      </c>
      <c r="R856" s="1" t="s">
        <v>5081</v>
      </c>
      <c r="S856" s="1" t="s">
        <v>27</v>
      </c>
      <c r="T856" s="6">
        <v>1</v>
      </c>
      <c r="Z856" s="1">
        <v>75.66</v>
      </c>
      <c r="AC856" s="1">
        <v>10.220366</v>
      </c>
      <c r="AI856" s="1">
        <v>2.3926219999999998</v>
      </c>
      <c r="AK856" s="1">
        <v>0.73679825383999997</v>
      </c>
      <c r="AL856" s="1">
        <v>0.47593184504800001</v>
      </c>
      <c r="AM856" s="1">
        <v>0.77861653311199996</v>
      </c>
      <c r="AS856" s="1">
        <v>7.827744</v>
      </c>
      <c r="AV856" s="1">
        <v>2.6627960000000002</v>
      </c>
      <c r="AY856" s="1">
        <v>29.743480000000002</v>
      </c>
      <c r="BB856" s="1">
        <v>19.2286</v>
      </c>
      <c r="BD856" s="1">
        <v>0.19958799999999999</v>
      </c>
      <c r="BF856" s="1">
        <v>2.3853200000000001</v>
      </c>
      <c r="BJ856" s="1">
        <v>45.272399999999998</v>
      </c>
      <c r="BK856" s="1">
        <v>8.2755999999999996E-2</v>
      </c>
      <c r="BO856" s="1">
        <v>10.222799999999999</v>
      </c>
      <c r="BS856" s="1">
        <v>48.68</v>
      </c>
      <c r="BW856" s="1">
        <v>1.190226</v>
      </c>
      <c r="BX856" s="1">
        <v>1440.9280000000001</v>
      </c>
      <c r="CA856" s="1">
        <v>43.811999999999998</v>
      </c>
      <c r="CC856" s="1">
        <v>15.334199999999999</v>
      </c>
      <c r="DR856" s="1">
        <v>3285.9</v>
      </c>
      <c r="DS856" s="1">
        <v>9224.86</v>
      </c>
      <c r="DT856" s="1">
        <v>5938.96</v>
      </c>
      <c r="DU856" s="1">
        <v>778.88</v>
      </c>
      <c r="DV856" s="1">
        <v>389.44</v>
      </c>
      <c r="DX856" s="1">
        <v>121.7</v>
      </c>
      <c r="DY856" s="1">
        <v>146.04</v>
      </c>
      <c r="EA856" s="1">
        <v>121.7</v>
      </c>
      <c r="EB856" s="1">
        <v>2604.38</v>
      </c>
      <c r="EC856" s="1">
        <v>121.7</v>
      </c>
      <c r="EF856" s="1">
        <v>657.18</v>
      </c>
      <c r="EG856" s="1">
        <v>243.4</v>
      </c>
      <c r="EH856" s="1">
        <v>413.78</v>
      </c>
      <c r="EI856" s="1">
        <v>194.72</v>
      </c>
      <c r="EK856" s="1">
        <v>438.12</v>
      </c>
      <c r="EL856" s="1">
        <v>778.88</v>
      </c>
      <c r="EM856" s="1">
        <v>754.54</v>
      </c>
      <c r="EO856" s="1">
        <v>559.82000000000005</v>
      </c>
      <c r="EQ856" s="1">
        <v>608.5</v>
      </c>
      <c r="ER856" s="1">
        <v>292.08</v>
      </c>
    </row>
    <row r="857" spans="1:148" x14ac:dyDescent="0.2">
      <c r="A857" s="1" t="s">
        <v>5084</v>
      </c>
      <c r="B857" s="1" t="s">
        <v>57</v>
      </c>
      <c r="C857" s="1" t="s">
        <v>5077</v>
      </c>
      <c r="D857" s="1" t="s">
        <v>2</v>
      </c>
      <c r="E857" s="1">
        <v>54</v>
      </c>
      <c r="F857" s="1" t="s">
        <v>4913</v>
      </c>
      <c r="H857" s="1" t="s">
        <v>5078</v>
      </c>
      <c r="I857" s="1" t="s">
        <v>7</v>
      </c>
      <c r="J857" s="1" t="s">
        <v>4917</v>
      </c>
      <c r="K857" s="1" t="s">
        <v>4916</v>
      </c>
      <c r="L857" s="1" t="s">
        <v>4917</v>
      </c>
      <c r="M857" s="1" t="s">
        <v>5085</v>
      </c>
      <c r="O857" s="1">
        <v>3</v>
      </c>
      <c r="P857" s="1" t="s">
        <v>5080</v>
      </c>
      <c r="Q857" s="1">
        <v>2010</v>
      </c>
      <c r="R857" s="1" t="s">
        <v>5081</v>
      </c>
      <c r="S857" s="1" t="s">
        <v>27</v>
      </c>
      <c r="T857" s="6">
        <v>1</v>
      </c>
      <c r="Z857" s="1">
        <v>73.790000000000006</v>
      </c>
      <c r="AC857" s="1">
        <v>12.337047</v>
      </c>
      <c r="AI857" s="1">
        <v>3.5566970000000002</v>
      </c>
      <c r="AK857" s="1">
        <v>1.0926792208639999</v>
      </c>
      <c r="AL857" s="1">
        <v>0.68602871537200005</v>
      </c>
      <c r="AM857" s="1">
        <v>1.328598598096</v>
      </c>
      <c r="AS857" s="1">
        <v>6.0912040000000003</v>
      </c>
      <c r="AV857" s="1">
        <v>3.661537</v>
      </c>
      <c r="AY857" s="1">
        <v>37.4803</v>
      </c>
      <c r="BB857" s="1">
        <v>12.5808</v>
      </c>
      <c r="BD857" s="1">
        <v>0.38266600000000001</v>
      </c>
      <c r="BF857" s="1">
        <v>1.535906</v>
      </c>
      <c r="BJ857" s="1">
        <v>16.879239999999999</v>
      </c>
      <c r="BK857" s="1">
        <v>8.1251000000000004E-2</v>
      </c>
      <c r="BO857" s="1">
        <v>6.0282999999999998</v>
      </c>
      <c r="BS857" s="1">
        <v>39.314999999999998</v>
      </c>
      <c r="BW857" s="1">
        <v>1.6721980000000001</v>
      </c>
      <c r="BX857" s="1">
        <v>935.697</v>
      </c>
      <c r="CA857" s="1">
        <v>39.314999999999998</v>
      </c>
      <c r="CC857" s="1">
        <v>15.988099999999999</v>
      </c>
      <c r="DR857" s="1">
        <v>4796.43</v>
      </c>
      <c r="DS857" s="1">
        <v>11165.46</v>
      </c>
      <c r="DT857" s="1">
        <v>6369.03</v>
      </c>
      <c r="DU857" s="1">
        <v>733.88</v>
      </c>
      <c r="DV857" s="1">
        <v>760.09</v>
      </c>
      <c r="DX857" s="1">
        <v>157.26</v>
      </c>
      <c r="DY857" s="1">
        <v>157.26</v>
      </c>
      <c r="EA857" s="1">
        <v>183.47</v>
      </c>
      <c r="EB857" s="1">
        <v>2542.37</v>
      </c>
      <c r="EC857" s="1">
        <v>157.26</v>
      </c>
      <c r="EF857" s="1">
        <v>288.31</v>
      </c>
      <c r="EG857" s="1">
        <v>262.10000000000002</v>
      </c>
      <c r="EH857" s="1">
        <v>864.93</v>
      </c>
      <c r="EI857" s="1">
        <v>497.99</v>
      </c>
      <c r="EK857" s="1">
        <v>838.72</v>
      </c>
      <c r="EL857" s="1">
        <v>995.98</v>
      </c>
      <c r="EM857" s="1">
        <v>838.72</v>
      </c>
      <c r="EO857" s="1">
        <v>681.46</v>
      </c>
      <c r="EQ857" s="1">
        <v>733.88</v>
      </c>
      <c r="ER857" s="1">
        <v>419.36</v>
      </c>
    </row>
    <row r="858" spans="1:148" x14ac:dyDescent="0.2">
      <c r="A858" s="1" t="s">
        <v>5086</v>
      </c>
      <c r="B858" s="1" t="s">
        <v>57</v>
      </c>
      <c r="C858" s="1" t="s">
        <v>5077</v>
      </c>
      <c r="D858" s="1" t="s">
        <v>2</v>
      </c>
      <c r="E858" s="1">
        <v>54</v>
      </c>
      <c r="F858" s="1" t="s">
        <v>4913</v>
      </c>
      <c r="H858" s="1" t="s">
        <v>5078</v>
      </c>
      <c r="I858" s="1" t="s">
        <v>7</v>
      </c>
      <c r="J858" s="1" t="s">
        <v>4917</v>
      </c>
      <c r="K858" s="1" t="s">
        <v>4916</v>
      </c>
      <c r="L858" s="1" t="s">
        <v>4917</v>
      </c>
      <c r="M858" s="1" t="s">
        <v>5087</v>
      </c>
      <c r="O858" s="1">
        <v>3</v>
      </c>
      <c r="P858" s="1" t="s">
        <v>5080</v>
      </c>
      <c r="Q858" s="1">
        <v>2010</v>
      </c>
      <c r="R858" s="1" t="s">
        <v>5081</v>
      </c>
      <c r="S858" s="1" t="s">
        <v>27</v>
      </c>
      <c r="T858" s="6">
        <v>1</v>
      </c>
      <c r="Z858" s="1">
        <v>71.38</v>
      </c>
      <c r="AC858" s="1">
        <v>12.801726</v>
      </c>
      <c r="AI858" s="1">
        <v>2.4384239999999999</v>
      </c>
      <c r="AK858" s="1">
        <v>0.80591280422400002</v>
      </c>
      <c r="AL858" s="1">
        <v>0.388710468704</v>
      </c>
      <c r="AM858" s="1">
        <v>0.84051007107200004</v>
      </c>
      <c r="AS858" s="1">
        <v>8.7920639999999999</v>
      </c>
      <c r="AV858" s="1">
        <v>2.5729380000000002</v>
      </c>
      <c r="AY858" s="1">
        <v>62.792279999999998</v>
      </c>
      <c r="BB858" s="1">
        <v>19.747800000000002</v>
      </c>
      <c r="BD858" s="1">
        <v>0.183168</v>
      </c>
      <c r="BF858" s="1">
        <v>3.328506</v>
      </c>
      <c r="BJ858" s="1">
        <v>55.207979999999999</v>
      </c>
      <c r="BK858" s="1">
        <v>0.13165199999999999</v>
      </c>
      <c r="BO858" s="1">
        <v>9.7308000000000003</v>
      </c>
      <c r="BS858" s="1">
        <v>48.654000000000003</v>
      </c>
      <c r="BW858" s="1">
        <v>1.3251059999999999</v>
      </c>
      <c r="BX858" s="1">
        <v>2175.12</v>
      </c>
      <c r="CA858" s="1">
        <v>25.757999999999999</v>
      </c>
      <c r="CC858" s="1">
        <v>18.316800000000001</v>
      </c>
      <c r="DR858" s="1">
        <v>4521.96</v>
      </c>
      <c r="DS858" s="1">
        <v>11362.14</v>
      </c>
      <c r="DT858" s="1">
        <v>6840.18</v>
      </c>
      <c r="DU858" s="1">
        <v>915.84</v>
      </c>
      <c r="DV858" s="1">
        <v>572.4</v>
      </c>
      <c r="DX858" s="1">
        <v>200.34</v>
      </c>
      <c r="DY858" s="1">
        <v>85.86</v>
      </c>
      <c r="EA858" s="1">
        <v>143.1</v>
      </c>
      <c r="EB858" s="1">
        <v>3033.72</v>
      </c>
      <c r="EC858" s="1">
        <v>143.1</v>
      </c>
      <c r="EF858" s="1">
        <v>257.58</v>
      </c>
      <c r="EG858" s="1">
        <v>228.96</v>
      </c>
      <c r="EH858" s="1">
        <v>715.5</v>
      </c>
      <c r="EI858" s="1">
        <v>829.98</v>
      </c>
      <c r="EK858" s="1">
        <v>629.64</v>
      </c>
      <c r="EL858" s="1">
        <v>887.22</v>
      </c>
      <c r="EM858" s="1">
        <v>944.46</v>
      </c>
      <c r="EO858" s="1">
        <v>658.26</v>
      </c>
      <c r="EQ858" s="1">
        <v>629.64</v>
      </c>
      <c r="ER858" s="1">
        <v>486.54</v>
      </c>
    </row>
    <row r="859" spans="1:148" x14ac:dyDescent="0.2">
      <c r="A859" s="1" t="s">
        <v>5088</v>
      </c>
      <c r="B859" s="1" t="s">
        <v>55</v>
      </c>
      <c r="C859" s="1" t="s">
        <v>5089</v>
      </c>
      <c r="D859" s="1" t="s">
        <v>2</v>
      </c>
      <c r="E859" s="1">
        <v>23</v>
      </c>
      <c r="F859" s="1" t="s">
        <v>5013</v>
      </c>
      <c r="G859" s="1" t="s">
        <v>5090</v>
      </c>
      <c r="H859" s="1" t="s">
        <v>5091</v>
      </c>
      <c r="I859" s="1" t="s">
        <v>7</v>
      </c>
      <c r="J859" s="1" t="s">
        <v>5015</v>
      </c>
      <c r="K859" s="1" t="s">
        <v>5016</v>
      </c>
      <c r="L859" s="1" t="s">
        <v>5015</v>
      </c>
      <c r="N859" s="1" t="s">
        <v>5092</v>
      </c>
      <c r="O859" s="1">
        <v>6</v>
      </c>
      <c r="Q859" s="1">
        <v>2011</v>
      </c>
      <c r="R859" s="1" t="s">
        <v>5093</v>
      </c>
      <c r="S859" s="1" t="s">
        <v>27</v>
      </c>
      <c r="T859" s="6">
        <v>1</v>
      </c>
      <c r="W859" s="1">
        <v>185</v>
      </c>
      <c r="Z859" s="1">
        <v>68.599999999999994</v>
      </c>
      <c r="AC859" s="1">
        <v>18.899999999999999</v>
      </c>
      <c r="AI859" s="1">
        <v>12.1</v>
      </c>
      <c r="AV859" s="1">
        <v>1.2</v>
      </c>
      <c r="AY859" s="1">
        <v>8.8000000000000007</v>
      </c>
      <c r="BD859" s="1">
        <v>3.2000000000000001E-2</v>
      </c>
      <c r="BF859" s="1">
        <v>0.23</v>
      </c>
      <c r="BH859" s="1">
        <v>364</v>
      </c>
      <c r="BJ859" s="1">
        <v>25</v>
      </c>
      <c r="BM859" s="1">
        <v>35</v>
      </c>
      <c r="BP859" s="1">
        <v>268</v>
      </c>
      <c r="BS859" s="1">
        <v>34.299999999999997</v>
      </c>
      <c r="BW859" s="1">
        <v>0.4</v>
      </c>
      <c r="CB859" s="1">
        <v>6.2</v>
      </c>
    </row>
    <row r="860" spans="1:148" x14ac:dyDescent="0.2">
      <c r="A860" s="1" t="s">
        <v>5094</v>
      </c>
      <c r="B860" s="1" t="s">
        <v>55</v>
      </c>
      <c r="C860" s="1" t="s">
        <v>5089</v>
      </c>
      <c r="D860" s="1" t="s">
        <v>2</v>
      </c>
      <c r="E860" s="1">
        <v>23</v>
      </c>
      <c r="F860" s="1" t="s">
        <v>1274</v>
      </c>
      <c r="G860" s="1" t="s">
        <v>5095</v>
      </c>
      <c r="H860" s="1" t="s">
        <v>5096</v>
      </c>
      <c r="I860" s="1" t="s">
        <v>7</v>
      </c>
      <c r="J860" s="1" t="s">
        <v>5097</v>
      </c>
      <c r="K860" s="1" t="s">
        <v>1277</v>
      </c>
      <c r="L860" s="1" t="s">
        <v>1276</v>
      </c>
      <c r="N860" s="1" t="s">
        <v>5092</v>
      </c>
      <c r="O860" s="1">
        <v>5</v>
      </c>
      <c r="Q860" s="1">
        <v>2011</v>
      </c>
      <c r="R860" s="1" t="s">
        <v>5093</v>
      </c>
      <c r="S860" s="1" t="s">
        <v>27</v>
      </c>
      <c r="T860" s="6">
        <v>1</v>
      </c>
      <c r="W860" s="1">
        <v>187</v>
      </c>
      <c r="Z860" s="1">
        <v>67.5</v>
      </c>
      <c r="AC860" s="1">
        <v>19.899999999999999</v>
      </c>
      <c r="AI860" s="1">
        <v>11.9</v>
      </c>
      <c r="AV860" s="1">
        <v>1.2</v>
      </c>
      <c r="AY860" s="1">
        <v>18</v>
      </c>
      <c r="BD860" s="1">
        <v>3.2000000000000001E-2</v>
      </c>
      <c r="BF860" s="1">
        <v>0.27</v>
      </c>
      <c r="BH860" s="1">
        <v>367</v>
      </c>
      <c r="BJ860" s="1">
        <v>22</v>
      </c>
      <c r="BM860" s="1">
        <v>40</v>
      </c>
      <c r="BP860" s="1">
        <v>221</v>
      </c>
      <c r="BS860" s="1">
        <v>21</v>
      </c>
      <c r="BW860" s="1">
        <v>0.36</v>
      </c>
      <c r="CB860" s="1">
        <v>5.4</v>
      </c>
    </row>
    <row r="861" spans="1:148" x14ac:dyDescent="0.2">
      <c r="A861" s="1" t="s">
        <v>5098</v>
      </c>
      <c r="B861" s="1" t="s">
        <v>55</v>
      </c>
      <c r="C861" s="1" t="s">
        <v>5099</v>
      </c>
      <c r="D861" s="1" t="s">
        <v>4</v>
      </c>
      <c r="E861" s="1">
        <v>34</v>
      </c>
      <c r="F861" s="1" t="s">
        <v>5100</v>
      </c>
      <c r="G861" s="1" t="s">
        <v>5101</v>
      </c>
      <c r="H861" s="1" t="s">
        <v>5102</v>
      </c>
      <c r="I861" s="1" t="s">
        <v>7</v>
      </c>
      <c r="K861" s="1" t="s">
        <v>5103</v>
      </c>
      <c r="L861" s="1" t="s">
        <v>5104</v>
      </c>
      <c r="O861" s="1">
        <v>1</v>
      </c>
      <c r="Q861" s="1">
        <v>2011</v>
      </c>
      <c r="R861" s="1" t="s">
        <v>5093</v>
      </c>
      <c r="S861" s="1" t="s">
        <v>27</v>
      </c>
      <c r="T861" s="6">
        <v>1</v>
      </c>
      <c r="W861" s="1">
        <v>75</v>
      </c>
      <c r="Z861" s="1">
        <v>78.099999999999994</v>
      </c>
      <c r="AC861" s="1">
        <v>11.1</v>
      </c>
      <c r="AI861" s="1">
        <v>3.4</v>
      </c>
      <c r="AV861" s="1">
        <v>4.7</v>
      </c>
      <c r="AY861" s="1">
        <v>9.4</v>
      </c>
      <c r="BD861" s="1">
        <v>3.3000000000000002E-2</v>
      </c>
      <c r="BF861" s="1">
        <v>0.35</v>
      </c>
      <c r="BH861" s="1">
        <v>31.4</v>
      </c>
      <c r="BJ861" s="1">
        <v>3.4</v>
      </c>
      <c r="BM861" s="1">
        <v>163</v>
      </c>
      <c r="BP861" s="1">
        <v>124</v>
      </c>
      <c r="BS861" s="1">
        <v>34.299999999999997</v>
      </c>
      <c r="BW861" s="1">
        <v>1.163</v>
      </c>
      <c r="CB861" s="1" t="s">
        <v>15</v>
      </c>
    </row>
    <row r="862" spans="1:148" x14ac:dyDescent="0.2">
      <c r="A862" s="1" t="s">
        <v>5105</v>
      </c>
      <c r="B862" s="1" t="s">
        <v>55</v>
      </c>
      <c r="C862" s="1" t="s">
        <v>5089</v>
      </c>
      <c r="D862" s="1" t="s">
        <v>2</v>
      </c>
      <c r="E862" s="1">
        <v>23</v>
      </c>
      <c r="F862" s="1" t="s">
        <v>5035</v>
      </c>
      <c r="G862" s="1" t="s">
        <v>5106</v>
      </c>
      <c r="H862" s="1" t="s">
        <v>5107</v>
      </c>
      <c r="I862" s="1" t="s">
        <v>11</v>
      </c>
      <c r="K862" s="1" t="s">
        <v>5108</v>
      </c>
      <c r="L862" s="1" t="s">
        <v>5109</v>
      </c>
      <c r="O862" s="1">
        <v>1</v>
      </c>
      <c r="Q862" s="1">
        <v>2011</v>
      </c>
      <c r="R862" s="1" t="s">
        <v>5093</v>
      </c>
      <c r="S862" s="1" t="s">
        <v>27</v>
      </c>
      <c r="T862" s="6">
        <v>1</v>
      </c>
      <c r="W862" s="1">
        <v>204</v>
      </c>
      <c r="Z862" s="1">
        <v>61.5</v>
      </c>
      <c r="AC862" s="1">
        <v>22.8</v>
      </c>
      <c r="AI862" s="1">
        <v>12.5</v>
      </c>
      <c r="AV862" s="1">
        <v>3.3</v>
      </c>
      <c r="AY862" s="1">
        <v>16.8</v>
      </c>
      <c r="BD862" s="1">
        <v>4.7E-2</v>
      </c>
      <c r="BF862" s="1">
        <v>1.08</v>
      </c>
      <c r="BH862" s="1">
        <v>429</v>
      </c>
      <c r="BJ862" s="1">
        <v>31.8</v>
      </c>
      <c r="BM862" s="1">
        <v>886</v>
      </c>
      <c r="BP862" s="1">
        <v>372</v>
      </c>
      <c r="BS862" s="1">
        <v>15.86</v>
      </c>
      <c r="BW862" s="1">
        <v>0.41</v>
      </c>
      <c r="CB862" s="1" t="s">
        <v>15</v>
      </c>
    </row>
    <row r="863" spans="1:148" x14ac:dyDescent="0.2">
      <c r="A863" s="1" t="s">
        <v>5110</v>
      </c>
      <c r="B863" s="1" t="s">
        <v>55</v>
      </c>
      <c r="C863" s="1" t="s">
        <v>5099</v>
      </c>
      <c r="D863" s="1" t="s">
        <v>4</v>
      </c>
      <c r="E863" s="1">
        <v>32</v>
      </c>
      <c r="F863" s="1" t="s">
        <v>1870</v>
      </c>
      <c r="G863" s="1" t="s">
        <v>5111</v>
      </c>
      <c r="H863" s="1" t="s">
        <v>5112</v>
      </c>
      <c r="I863" s="1" t="s">
        <v>11</v>
      </c>
      <c r="K863" s="1" t="s">
        <v>5113</v>
      </c>
      <c r="L863" s="1" t="s">
        <v>5114</v>
      </c>
      <c r="O863" s="1">
        <v>1</v>
      </c>
      <c r="Q863" s="1">
        <v>2011</v>
      </c>
      <c r="R863" s="1" t="s">
        <v>5093</v>
      </c>
      <c r="S863" s="1" t="s">
        <v>27</v>
      </c>
      <c r="T863" s="6">
        <v>1</v>
      </c>
      <c r="W863" s="1">
        <v>84</v>
      </c>
      <c r="Z863" s="1">
        <v>58.5</v>
      </c>
      <c r="AC863" s="1">
        <v>20.6</v>
      </c>
      <c r="AI863" s="1">
        <v>0.2</v>
      </c>
      <c r="AV863" s="1">
        <v>20.8</v>
      </c>
    </row>
    <row r="864" spans="1:148" x14ac:dyDescent="0.2">
      <c r="A864" s="1" t="s">
        <v>5115</v>
      </c>
      <c r="B864" s="1" t="s">
        <v>55</v>
      </c>
      <c r="C864" s="1" t="s">
        <v>5099</v>
      </c>
      <c r="D864" s="1" t="s">
        <v>4</v>
      </c>
      <c r="E864" s="1">
        <v>32</v>
      </c>
      <c r="F864" s="1" t="s">
        <v>1870</v>
      </c>
      <c r="G864" s="1" t="s">
        <v>5116</v>
      </c>
      <c r="H864" s="1" t="s">
        <v>5117</v>
      </c>
      <c r="I864" s="1" t="s">
        <v>11</v>
      </c>
      <c r="K864" s="1" t="s">
        <v>5113</v>
      </c>
      <c r="L864" s="1" t="s">
        <v>5114</v>
      </c>
      <c r="N864" s="1" t="s">
        <v>5092</v>
      </c>
      <c r="O864" s="1">
        <v>2</v>
      </c>
      <c r="Q864" s="1">
        <v>2011</v>
      </c>
      <c r="R864" s="1" t="s">
        <v>5093</v>
      </c>
      <c r="S864" s="1" t="s">
        <v>27</v>
      </c>
      <c r="T864" s="6">
        <v>1</v>
      </c>
      <c r="W864" s="1">
        <v>64</v>
      </c>
      <c r="Z864" s="1">
        <v>80.900000000000006</v>
      </c>
      <c r="AC864" s="1">
        <v>15.7</v>
      </c>
      <c r="AI864" s="1">
        <v>0.1</v>
      </c>
      <c r="AV864" s="1">
        <v>3.6</v>
      </c>
    </row>
    <row r="865" spans="1:110" x14ac:dyDescent="0.2">
      <c r="A865" s="1" t="s">
        <v>5118</v>
      </c>
      <c r="B865" s="1" t="s">
        <v>55</v>
      </c>
      <c r="C865" s="1" t="s">
        <v>5099</v>
      </c>
      <c r="D865" s="1" t="s">
        <v>4</v>
      </c>
      <c r="E865" s="1">
        <v>32</v>
      </c>
      <c r="F865" s="1" t="s">
        <v>1870</v>
      </c>
      <c r="G865" s="1" t="s">
        <v>5119</v>
      </c>
      <c r="H865" s="1" t="s">
        <v>5117</v>
      </c>
      <c r="I865" s="1" t="s">
        <v>11</v>
      </c>
      <c r="K865" s="1" t="s">
        <v>5113</v>
      </c>
      <c r="L865" s="1" t="s">
        <v>5114</v>
      </c>
      <c r="N865" s="1" t="s">
        <v>5092</v>
      </c>
      <c r="O865" s="1">
        <v>2</v>
      </c>
      <c r="Q865" s="1">
        <v>2011</v>
      </c>
      <c r="R865" s="1" t="s">
        <v>5093</v>
      </c>
      <c r="S865" s="1" t="s">
        <v>27</v>
      </c>
      <c r="T865" s="6">
        <v>1</v>
      </c>
      <c r="W865" s="1">
        <v>95</v>
      </c>
      <c r="Z865" s="1">
        <v>73.599999999999994</v>
      </c>
      <c r="AC865" s="1">
        <v>23.4</v>
      </c>
      <c r="AI865" s="1">
        <v>0.2</v>
      </c>
      <c r="AV865" s="1">
        <v>3.2</v>
      </c>
    </row>
    <row r="866" spans="1:110" x14ac:dyDescent="0.2">
      <c r="A866" s="1" t="s">
        <v>5120</v>
      </c>
      <c r="B866" s="1" t="s">
        <v>55</v>
      </c>
      <c r="C866" s="1" t="s">
        <v>5099</v>
      </c>
      <c r="D866" s="1" t="s">
        <v>4</v>
      </c>
      <c r="E866" s="1">
        <v>35</v>
      </c>
      <c r="F866" s="1" t="s">
        <v>5121</v>
      </c>
      <c r="G866" s="1" t="s">
        <v>5122</v>
      </c>
      <c r="H866" s="1" t="s">
        <v>5123</v>
      </c>
      <c r="I866" s="1" t="s">
        <v>11</v>
      </c>
      <c r="K866" s="1" t="s">
        <v>5124</v>
      </c>
      <c r="L866" s="1" t="s">
        <v>5125</v>
      </c>
      <c r="O866" s="1">
        <v>1</v>
      </c>
      <c r="Q866" s="1">
        <v>2011</v>
      </c>
      <c r="R866" s="1" t="s">
        <v>5093</v>
      </c>
      <c r="S866" s="1" t="s">
        <v>27</v>
      </c>
      <c r="T866" s="6">
        <v>1</v>
      </c>
      <c r="W866" s="1">
        <v>253</v>
      </c>
      <c r="Z866" s="1">
        <v>55.7</v>
      </c>
      <c r="AC866" s="1">
        <v>18.8</v>
      </c>
      <c r="AI866" s="1">
        <v>19.7</v>
      </c>
      <c r="AV866" s="1">
        <v>5.6</v>
      </c>
      <c r="AY866" s="1">
        <v>30</v>
      </c>
      <c r="BD866" s="1">
        <v>8.7999999999999995E-2</v>
      </c>
      <c r="BF866" s="1">
        <v>1.42</v>
      </c>
      <c r="BH866" s="1">
        <v>243</v>
      </c>
      <c r="BJ866" s="1">
        <v>38.5</v>
      </c>
      <c r="BM866" s="1">
        <v>1950</v>
      </c>
      <c r="BP866" s="1">
        <v>320</v>
      </c>
      <c r="BS866" s="1">
        <v>31.74</v>
      </c>
      <c r="BW866" s="1">
        <v>0.66100000000000003</v>
      </c>
      <c r="CB866" s="1">
        <v>8.3000000000000007</v>
      </c>
    </row>
    <row r="867" spans="1:110" x14ac:dyDescent="0.2">
      <c r="A867" s="1" t="s">
        <v>5126</v>
      </c>
      <c r="B867" s="1" t="s">
        <v>55</v>
      </c>
      <c r="C867" s="1" t="s">
        <v>5099</v>
      </c>
      <c r="D867" s="1" t="s">
        <v>4</v>
      </c>
      <c r="E867" s="1">
        <v>32</v>
      </c>
      <c r="F867" s="1" t="s">
        <v>1870</v>
      </c>
      <c r="G867" s="1" t="s">
        <v>5127</v>
      </c>
      <c r="H867" s="1" t="s">
        <v>5128</v>
      </c>
      <c r="I867" s="1" t="s">
        <v>9</v>
      </c>
      <c r="K867" s="1" t="s">
        <v>5113</v>
      </c>
      <c r="L867" s="1" t="s">
        <v>5114</v>
      </c>
      <c r="O867" s="1">
        <v>1</v>
      </c>
      <c r="Q867" s="1">
        <v>2011</v>
      </c>
      <c r="R867" s="1" t="s">
        <v>5093</v>
      </c>
      <c r="S867" s="1" t="s">
        <v>27</v>
      </c>
      <c r="T867" s="6">
        <v>1</v>
      </c>
      <c r="Z867" s="1">
        <v>67.7</v>
      </c>
      <c r="AC867" s="1">
        <v>31.4</v>
      </c>
      <c r="AY867" s="1">
        <v>19.100000000000001</v>
      </c>
      <c r="BD867" s="1">
        <v>1.8074412003178199E-2</v>
      </c>
      <c r="BF867" s="1">
        <v>0.12596370827480699</v>
      </c>
      <c r="BH867" s="1">
        <v>519</v>
      </c>
      <c r="BJ867" s="1">
        <v>28.4</v>
      </c>
      <c r="BM867" s="1">
        <v>233</v>
      </c>
      <c r="BP867" s="1">
        <v>357</v>
      </c>
      <c r="BS867" s="1">
        <v>50.33</v>
      </c>
      <c r="BW867" s="1">
        <v>0.54540519392140097</v>
      </c>
      <c r="CB867" s="1">
        <v>6.53</v>
      </c>
    </row>
    <row r="868" spans="1:110" x14ac:dyDescent="0.2">
      <c r="A868" s="1" t="s">
        <v>5129</v>
      </c>
      <c r="B868" s="1" t="s">
        <v>55</v>
      </c>
      <c r="C868" s="1" t="s">
        <v>5099</v>
      </c>
      <c r="D868" s="1" t="s">
        <v>4</v>
      </c>
      <c r="E868" s="1">
        <v>32</v>
      </c>
      <c r="F868" s="1" t="s">
        <v>1870</v>
      </c>
      <c r="G868" s="1" t="s">
        <v>5130</v>
      </c>
      <c r="H868" s="1" t="s">
        <v>5131</v>
      </c>
      <c r="I868" s="1" t="s">
        <v>11</v>
      </c>
      <c r="K868" s="1" t="s">
        <v>5113</v>
      </c>
      <c r="L868" s="1" t="s">
        <v>5114</v>
      </c>
      <c r="O868" s="1">
        <v>1</v>
      </c>
      <c r="Q868" s="1">
        <v>2011</v>
      </c>
      <c r="R868" s="1" t="s">
        <v>5093</v>
      </c>
      <c r="S868" s="1" t="s">
        <v>27</v>
      </c>
      <c r="T868" s="6">
        <v>1</v>
      </c>
      <c r="Z868" s="1">
        <v>75.3</v>
      </c>
      <c r="AC868" s="1">
        <v>24</v>
      </c>
      <c r="AY868" s="1">
        <v>19.2</v>
      </c>
      <c r="BD868" s="1">
        <v>1.2999999999999999E-2</v>
      </c>
      <c r="BF868" s="1">
        <v>0.11799999999999999</v>
      </c>
      <c r="BH868" s="1">
        <v>270</v>
      </c>
      <c r="BJ868" s="1">
        <v>21.5</v>
      </c>
      <c r="BM868" s="1">
        <v>122</v>
      </c>
      <c r="BP868" s="1">
        <v>202</v>
      </c>
      <c r="BS868" s="1">
        <v>35.75</v>
      </c>
      <c r="BW868" s="1">
        <v>0.39200000000000002</v>
      </c>
      <c r="CB868" s="1">
        <v>5.23</v>
      </c>
    </row>
    <row r="869" spans="1:110" x14ac:dyDescent="0.2">
      <c r="A869" s="1" t="s">
        <v>5132</v>
      </c>
      <c r="B869" s="1" t="s">
        <v>55</v>
      </c>
      <c r="C869" s="1" t="s">
        <v>5089</v>
      </c>
      <c r="D869" s="1" t="s">
        <v>2</v>
      </c>
      <c r="E869" s="1">
        <v>23</v>
      </c>
      <c r="F869" s="1" t="s">
        <v>5013</v>
      </c>
      <c r="G869" s="1" t="s">
        <v>5090</v>
      </c>
      <c r="H869" s="1" t="s">
        <v>5091</v>
      </c>
      <c r="I869" s="1" t="s">
        <v>7</v>
      </c>
      <c r="J869" s="1" t="s">
        <v>5133</v>
      </c>
      <c r="K869" s="1" t="s">
        <v>5016</v>
      </c>
      <c r="L869" s="1" t="s">
        <v>5015</v>
      </c>
      <c r="P869" s="1" t="s">
        <v>1671</v>
      </c>
      <c r="Q869" s="1">
        <v>2011</v>
      </c>
      <c r="R869" s="1" t="s">
        <v>5093</v>
      </c>
      <c r="S869" s="1" t="s">
        <v>27</v>
      </c>
      <c r="T869" s="6">
        <v>1</v>
      </c>
      <c r="AH869" s="1">
        <v>11.6</v>
      </c>
      <c r="AK869" s="1">
        <v>1.9464059719468001</v>
      </c>
      <c r="AL869" s="1">
        <v>5.2606024664779296</v>
      </c>
      <c r="AM869" s="1">
        <v>2.5090326904801499</v>
      </c>
      <c r="AN869" s="1">
        <v>0.93549803454126901</v>
      </c>
      <c r="AO869" s="1">
        <v>2.8260836553856299E-2</v>
      </c>
    </row>
    <row r="870" spans="1:110" x14ac:dyDescent="0.2">
      <c r="A870" s="1" t="s">
        <v>5134</v>
      </c>
      <c r="B870" s="1" t="s">
        <v>55</v>
      </c>
      <c r="C870" s="1" t="s">
        <v>5089</v>
      </c>
      <c r="D870" s="1" t="s">
        <v>2</v>
      </c>
      <c r="E870" s="1">
        <v>23</v>
      </c>
      <c r="F870" s="1" t="s">
        <v>5013</v>
      </c>
      <c r="G870" s="1" t="s">
        <v>5090</v>
      </c>
      <c r="H870" s="1" t="s">
        <v>5091</v>
      </c>
      <c r="I870" s="1" t="s">
        <v>7</v>
      </c>
      <c r="J870" s="1" t="s">
        <v>5133</v>
      </c>
      <c r="K870" s="1" t="s">
        <v>5016</v>
      </c>
      <c r="L870" s="1" t="s">
        <v>5015</v>
      </c>
      <c r="P870" s="1" t="s">
        <v>1671</v>
      </c>
      <c r="Q870" s="1">
        <v>2011</v>
      </c>
      <c r="R870" s="1" t="s">
        <v>5093</v>
      </c>
      <c r="S870" s="1" t="s">
        <v>27</v>
      </c>
      <c r="T870" s="6">
        <v>1</v>
      </c>
      <c r="AH870" s="1">
        <v>15.4</v>
      </c>
      <c r="AK870" s="1">
        <v>2.5056640704452802</v>
      </c>
      <c r="AL870" s="1">
        <v>6.99430146542473</v>
      </c>
      <c r="AM870" s="1">
        <v>3.5678061845238398</v>
      </c>
      <c r="AN870" s="1">
        <v>1.1195510104178801</v>
      </c>
      <c r="AO870" s="1">
        <v>3.78772691882635E-2</v>
      </c>
    </row>
    <row r="871" spans="1:110" x14ac:dyDescent="0.2">
      <c r="A871" s="1" t="s">
        <v>5135</v>
      </c>
      <c r="B871" s="1" t="s">
        <v>55</v>
      </c>
      <c r="C871" s="1" t="s">
        <v>5089</v>
      </c>
      <c r="D871" s="1" t="s">
        <v>2</v>
      </c>
      <c r="E871" s="1">
        <v>23</v>
      </c>
      <c r="F871" s="1" t="s">
        <v>5013</v>
      </c>
      <c r="G871" s="1" t="s">
        <v>5090</v>
      </c>
      <c r="H871" s="1" t="s">
        <v>5091</v>
      </c>
      <c r="I871" s="1" t="s">
        <v>7</v>
      </c>
      <c r="J871" s="1" t="s">
        <v>5133</v>
      </c>
      <c r="K871" s="1" t="s">
        <v>5016</v>
      </c>
      <c r="L871" s="1" t="s">
        <v>5015</v>
      </c>
      <c r="P871" s="1" t="s">
        <v>1671</v>
      </c>
      <c r="Q871" s="1">
        <v>2011</v>
      </c>
      <c r="R871" s="1" t="s">
        <v>5093</v>
      </c>
      <c r="S871" s="1" t="s">
        <v>27</v>
      </c>
      <c r="T871" s="6">
        <v>1</v>
      </c>
      <c r="AH871" s="1">
        <v>8.6999999999999993</v>
      </c>
      <c r="AK871" s="1">
        <v>1.4412888491028599</v>
      </c>
      <c r="AL871" s="1">
        <v>3.9573944862748101</v>
      </c>
      <c r="AM871" s="1">
        <v>1.84827497115055</v>
      </c>
      <c r="AN871" s="1">
        <v>0.70404566976911098</v>
      </c>
      <c r="AO871" s="1">
        <v>2.30960237026685E-2</v>
      </c>
    </row>
    <row r="872" spans="1:110" x14ac:dyDescent="0.2">
      <c r="A872" s="1" t="s">
        <v>5136</v>
      </c>
      <c r="B872" s="1" t="s">
        <v>55</v>
      </c>
      <c r="C872" s="1" t="s">
        <v>5089</v>
      </c>
      <c r="D872" s="1" t="s">
        <v>2</v>
      </c>
      <c r="E872" s="1">
        <v>23</v>
      </c>
      <c r="F872" s="1" t="s">
        <v>5013</v>
      </c>
      <c r="G872" s="1" t="s">
        <v>5090</v>
      </c>
      <c r="H872" s="1" t="s">
        <v>5091</v>
      </c>
      <c r="I872" s="1" t="s">
        <v>7</v>
      </c>
      <c r="J872" s="1" t="s">
        <v>5133</v>
      </c>
      <c r="K872" s="1" t="s">
        <v>5016</v>
      </c>
      <c r="L872" s="1" t="s">
        <v>5015</v>
      </c>
      <c r="P872" s="1" t="s">
        <v>1671</v>
      </c>
      <c r="Q872" s="1">
        <v>2011</v>
      </c>
      <c r="R872" s="1" t="s">
        <v>5093</v>
      </c>
      <c r="S872" s="1" t="s">
        <v>27</v>
      </c>
      <c r="T872" s="6">
        <v>1</v>
      </c>
      <c r="AH872" s="1">
        <v>13.9</v>
      </c>
      <c r="AK872" s="1">
        <v>2.3120390538451301</v>
      </c>
      <c r="AL872" s="1">
        <v>6.2651563668271004</v>
      </c>
      <c r="AM872" s="1">
        <v>3.3239222234294101</v>
      </c>
      <c r="AN872" s="1">
        <v>0.89210874529956696</v>
      </c>
      <c r="AO872" s="1">
        <v>3.2473610598795999E-2</v>
      </c>
    </row>
    <row r="873" spans="1:110" x14ac:dyDescent="0.2">
      <c r="A873" s="1" t="s">
        <v>5137</v>
      </c>
      <c r="B873" s="1" t="s">
        <v>55</v>
      </c>
      <c r="C873" s="1" t="s">
        <v>5089</v>
      </c>
      <c r="D873" s="1" t="s">
        <v>2</v>
      </c>
      <c r="E873" s="1">
        <v>23</v>
      </c>
      <c r="F873" s="1" t="s">
        <v>1274</v>
      </c>
      <c r="G873" s="1" t="s">
        <v>5095</v>
      </c>
      <c r="H873" s="1" t="s">
        <v>5096</v>
      </c>
      <c r="I873" s="1" t="s">
        <v>7</v>
      </c>
      <c r="J873" s="1" t="s">
        <v>5097</v>
      </c>
      <c r="K873" s="1" t="s">
        <v>1277</v>
      </c>
      <c r="L873" s="1" t="s">
        <v>1276</v>
      </c>
      <c r="P873" s="1" t="s">
        <v>1671</v>
      </c>
      <c r="Q873" s="1">
        <v>2011</v>
      </c>
      <c r="R873" s="1" t="s">
        <v>5093</v>
      </c>
      <c r="S873" s="1" t="s">
        <v>27</v>
      </c>
      <c r="T873" s="6">
        <v>1</v>
      </c>
      <c r="AH873" s="1">
        <v>8.3000000000000007</v>
      </c>
      <c r="AK873" s="1">
        <v>1.4342567324947</v>
      </c>
      <c r="AL873" s="1">
        <v>3.5229601462404898</v>
      </c>
      <c r="AM873" s="1">
        <v>2.0082907040640001</v>
      </c>
      <c r="AN873" s="1">
        <v>0.61397831654413604</v>
      </c>
      <c r="AO873" s="1">
        <v>2.14141006566817E-2</v>
      </c>
    </row>
    <row r="874" spans="1:110" x14ac:dyDescent="0.2">
      <c r="A874" s="1" t="s">
        <v>5138</v>
      </c>
      <c r="B874" s="1" t="s">
        <v>55</v>
      </c>
      <c r="C874" s="1" t="s">
        <v>5089</v>
      </c>
      <c r="D874" s="1" t="s">
        <v>2</v>
      </c>
      <c r="E874" s="1">
        <v>23</v>
      </c>
      <c r="F874" s="1" t="s">
        <v>1274</v>
      </c>
      <c r="G874" s="1" t="s">
        <v>5095</v>
      </c>
      <c r="H874" s="1" t="s">
        <v>5096</v>
      </c>
      <c r="I874" s="1" t="s">
        <v>7</v>
      </c>
      <c r="J874" s="1" t="s">
        <v>5097</v>
      </c>
      <c r="K874" s="1" t="s">
        <v>1277</v>
      </c>
      <c r="L874" s="1" t="s">
        <v>1276</v>
      </c>
      <c r="P874" s="1" t="s">
        <v>1671</v>
      </c>
      <c r="Q874" s="1">
        <v>2011</v>
      </c>
      <c r="R874" s="1" t="s">
        <v>5093</v>
      </c>
      <c r="S874" s="1" t="s">
        <v>27</v>
      </c>
      <c r="T874" s="6">
        <v>1</v>
      </c>
      <c r="AH874" s="1">
        <v>14.9</v>
      </c>
      <c r="AK874" s="1">
        <v>3.0112956050610702</v>
      </c>
      <c r="AL874" s="1">
        <v>6.5474023364034704</v>
      </c>
      <c r="AM874" s="1">
        <v>3.1600220597223099</v>
      </c>
      <c r="AN874" s="1">
        <v>0.99844569799735805</v>
      </c>
      <c r="AO874" s="1">
        <v>4.1534300815801901E-2</v>
      </c>
    </row>
    <row r="875" spans="1:110" x14ac:dyDescent="0.2">
      <c r="A875" s="1" t="s">
        <v>5139</v>
      </c>
      <c r="B875" s="1" t="s">
        <v>55</v>
      </c>
      <c r="C875" s="1" t="s">
        <v>5089</v>
      </c>
      <c r="D875" s="1" t="s">
        <v>2</v>
      </c>
      <c r="E875" s="1">
        <v>23</v>
      </c>
      <c r="F875" s="1" t="s">
        <v>1274</v>
      </c>
      <c r="G875" s="1" t="s">
        <v>5095</v>
      </c>
      <c r="H875" s="1" t="s">
        <v>5096</v>
      </c>
      <c r="I875" s="1" t="s">
        <v>7</v>
      </c>
      <c r="J875" s="1" t="s">
        <v>5097</v>
      </c>
      <c r="K875" s="1" t="s">
        <v>1277</v>
      </c>
      <c r="L875" s="1" t="s">
        <v>1276</v>
      </c>
      <c r="P875" s="1" t="s">
        <v>1671</v>
      </c>
      <c r="Q875" s="1">
        <v>2011</v>
      </c>
      <c r="R875" s="1" t="s">
        <v>5093</v>
      </c>
      <c r="S875" s="1" t="s">
        <v>27</v>
      </c>
      <c r="T875" s="6">
        <v>1</v>
      </c>
      <c r="AH875" s="1">
        <v>12</v>
      </c>
      <c r="AK875" s="1">
        <v>2.50363199538607</v>
      </c>
      <c r="AL875" s="1">
        <v>4.8078242939039901</v>
      </c>
      <c r="AM875" s="1">
        <v>2.79955051563977</v>
      </c>
      <c r="AN875" s="1">
        <v>0.90881098942272698</v>
      </c>
      <c r="AO875" s="1">
        <v>3.3182205647444001E-2</v>
      </c>
    </row>
    <row r="876" spans="1:110" x14ac:dyDescent="0.2">
      <c r="A876" s="1" t="s">
        <v>5140</v>
      </c>
      <c r="B876" s="1" t="s">
        <v>55</v>
      </c>
      <c r="C876" s="1" t="s">
        <v>5089</v>
      </c>
      <c r="D876" s="1" t="s">
        <v>2</v>
      </c>
      <c r="E876" s="1">
        <v>23</v>
      </c>
      <c r="F876" s="1" t="s">
        <v>1274</v>
      </c>
      <c r="G876" s="1" t="s">
        <v>5095</v>
      </c>
      <c r="H876" s="1" t="s">
        <v>5096</v>
      </c>
      <c r="I876" s="1" t="s">
        <v>7</v>
      </c>
      <c r="J876" s="1" t="s">
        <v>5097</v>
      </c>
      <c r="K876" s="1" t="s">
        <v>1277</v>
      </c>
      <c r="L876" s="1" t="s">
        <v>1276</v>
      </c>
      <c r="Q876" s="1">
        <v>2011</v>
      </c>
      <c r="R876" s="1" t="s">
        <v>5093</v>
      </c>
      <c r="S876" s="1" t="s">
        <v>27</v>
      </c>
      <c r="T876" s="6">
        <v>1</v>
      </c>
      <c r="BG876" s="1">
        <v>3</v>
      </c>
      <c r="CV876" s="1">
        <v>1.66</v>
      </c>
      <c r="DF876" s="1">
        <v>0.67</v>
      </c>
    </row>
    <row r="877" spans="1:110" x14ac:dyDescent="0.2">
      <c r="A877" s="1" t="s">
        <v>5141</v>
      </c>
      <c r="B877" s="1" t="s">
        <v>55</v>
      </c>
      <c r="C877" s="1" t="s">
        <v>5089</v>
      </c>
      <c r="D877" s="1" t="s">
        <v>2</v>
      </c>
      <c r="E877" s="1">
        <v>23</v>
      </c>
      <c r="F877" s="1" t="s">
        <v>1274</v>
      </c>
      <c r="G877" s="1" t="s">
        <v>5095</v>
      </c>
      <c r="H877" s="1" t="s">
        <v>5096</v>
      </c>
      <c r="I877" s="1" t="s">
        <v>7</v>
      </c>
      <c r="J877" s="1" t="s">
        <v>5097</v>
      </c>
      <c r="K877" s="1" t="s">
        <v>1277</v>
      </c>
      <c r="L877" s="1" t="s">
        <v>1276</v>
      </c>
      <c r="Q877" s="1">
        <v>2011</v>
      </c>
      <c r="R877" s="1" t="s">
        <v>5093</v>
      </c>
      <c r="S877" s="1" t="s">
        <v>27</v>
      </c>
      <c r="T877" s="6">
        <v>1</v>
      </c>
      <c r="BG877" s="1">
        <v>5</v>
      </c>
      <c r="CV877" s="1">
        <v>1.69</v>
      </c>
      <c r="DF877" s="1">
        <v>0.79</v>
      </c>
    </row>
    <row r="878" spans="1:110" x14ac:dyDescent="0.2">
      <c r="A878" s="1" t="s">
        <v>5142</v>
      </c>
      <c r="B878" s="1" t="s">
        <v>55</v>
      </c>
      <c r="C878" s="1" t="s">
        <v>5089</v>
      </c>
      <c r="D878" s="1" t="s">
        <v>2</v>
      </c>
      <c r="E878" s="1">
        <v>23</v>
      </c>
      <c r="F878" s="1" t="s">
        <v>5013</v>
      </c>
      <c r="G878" s="1" t="s">
        <v>5090</v>
      </c>
      <c r="H878" s="1" t="s">
        <v>5091</v>
      </c>
      <c r="I878" s="1" t="s">
        <v>7</v>
      </c>
      <c r="J878" s="1" t="s">
        <v>5133</v>
      </c>
      <c r="K878" s="1" t="s">
        <v>5016</v>
      </c>
      <c r="L878" s="1" t="s">
        <v>5015</v>
      </c>
      <c r="Q878" s="1">
        <v>2011</v>
      </c>
      <c r="R878" s="1" t="s">
        <v>5093</v>
      </c>
      <c r="S878" s="1" t="s">
        <v>27</v>
      </c>
      <c r="T878" s="6">
        <v>1</v>
      </c>
      <c r="CR878" s="1">
        <v>11.6</v>
      </c>
    </row>
    <row r="879" spans="1:110" x14ac:dyDescent="0.2">
      <c r="A879" s="1" t="s">
        <v>5143</v>
      </c>
      <c r="B879" s="1" t="s">
        <v>55</v>
      </c>
      <c r="C879" s="1" t="s">
        <v>5089</v>
      </c>
      <c r="D879" s="1" t="s">
        <v>2</v>
      </c>
      <c r="E879" s="1">
        <v>23</v>
      </c>
      <c r="F879" s="1" t="s">
        <v>1274</v>
      </c>
      <c r="G879" s="1" t="s">
        <v>5095</v>
      </c>
      <c r="H879" s="1" t="s">
        <v>5096</v>
      </c>
      <c r="I879" s="1" t="s">
        <v>7</v>
      </c>
      <c r="J879" s="1" t="s">
        <v>5097</v>
      </c>
      <c r="K879" s="1" t="s">
        <v>1277</v>
      </c>
      <c r="L879" s="1" t="s">
        <v>1276</v>
      </c>
      <c r="Q879" s="1">
        <v>2011</v>
      </c>
      <c r="R879" s="1" t="s">
        <v>5093</v>
      </c>
      <c r="S879" s="1" t="s">
        <v>27</v>
      </c>
      <c r="T879" s="6">
        <v>1</v>
      </c>
      <c r="CR879" s="1">
        <v>10.9</v>
      </c>
    </row>
    <row r="880" spans="1:110" x14ac:dyDescent="0.2">
      <c r="A880" s="1" t="s">
        <v>5144</v>
      </c>
      <c r="B880" s="1" t="s">
        <v>55</v>
      </c>
      <c r="C880" s="1" t="s">
        <v>5145</v>
      </c>
      <c r="E880" s="1">
        <v>11</v>
      </c>
      <c r="F880" s="1" t="s">
        <v>2132</v>
      </c>
      <c r="G880" s="1" t="s">
        <v>5146</v>
      </c>
      <c r="H880" s="1" t="s">
        <v>5147</v>
      </c>
      <c r="I880" s="1" t="s">
        <v>7</v>
      </c>
      <c r="J880" s="1" t="s">
        <v>2135</v>
      </c>
      <c r="K880" s="1" t="s">
        <v>2136</v>
      </c>
      <c r="L880" s="1" t="s">
        <v>2135</v>
      </c>
      <c r="M880" s="1" t="s">
        <v>5148</v>
      </c>
      <c r="N880" s="1" t="s">
        <v>5149</v>
      </c>
      <c r="P880" s="1" t="s">
        <v>5150</v>
      </c>
      <c r="Q880" s="1">
        <v>2002</v>
      </c>
      <c r="R880" s="1" t="s">
        <v>5151</v>
      </c>
      <c r="S880" s="1" t="s">
        <v>27</v>
      </c>
      <c r="T880" s="6">
        <v>1</v>
      </c>
      <c r="U880" s="1">
        <v>0.83</v>
      </c>
      <c r="Y880" s="1">
        <v>26.6</v>
      </c>
      <c r="CF880" s="1">
        <v>9</v>
      </c>
      <c r="CG880" s="1">
        <v>2</v>
      </c>
      <c r="CH880" s="1">
        <v>11</v>
      </c>
      <c r="CM880" s="1">
        <v>0</v>
      </c>
    </row>
    <row r="881" spans="1:117" x14ac:dyDescent="0.2">
      <c r="A881" s="1" t="s">
        <v>5152</v>
      </c>
      <c r="B881" s="1" t="s">
        <v>55</v>
      </c>
      <c r="C881" s="1" t="s">
        <v>5145</v>
      </c>
      <c r="E881" s="1">
        <v>11</v>
      </c>
      <c r="F881" s="1" t="s">
        <v>2124</v>
      </c>
      <c r="G881" s="1" t="s">
        <v>5153</v>
      </c>
      <c r="H881" s="1" t="s">
        <v>5154</v>
      </c>
      <c r="I881" s="1" t="s">
        <v>7</v>
      </c>
      <c r="J881" s="1" t="s">
        <v>2165</v>
      </c>
      <c r="K881" s="1" t="s">
        <v>2128</v>
      </c>
      <c r="L881" s="1" t="s">
        <v>2165</v>
      </c>
      <c r="M881" s="1" t="s">
        <v>5148</v>
      </c>
      <c r="N881" s="1" t="s">
        <v>5149</v>
      </c>
      <c r="P881" s="1" t="s">
        <v>5150</v>
      </c>
      <c r="Q881" s="1">
        <v>2002</v>
      </c>
      <c r="R881" s="1" t="s">
        <v>5151</v>
      </c>
      <c r="S881" s="1" t="s">
        <v>27</v>
      </c>
      <c r="T881" s="6">
        <v>1</v>
      </c>
      <c r="U881" s="1">
        <v>0.83</v>
      </c>
      <c r="CF881" s="1">
        <v>9</v>
      </c>
      <c r="CG881" s="1">
        <v>2</v>
      </c>
      <c r="CH881" s="1">
        <v>5</v>
      </c>
      <c r="CM881" s="1">
        <v>6</v>
      </c>
    </row>
    <row r="882" spans="1:117" s="12" customFormat="1" x14ac:dyDescent="0.2">
      <c r="A882" s="11" t="s">
        <v>6532</v>
      </c>
      <c r="B882" s="12" t="s">
        <v>1912</v>
      </c>
      <c r="C882" s="12" t="s">
        <v>6195</v>
      </c>
      <c r="H882" s="12" t="s">
        <v>6380</v>
      </c>
      <c r="I882" s="12" t="s">
        <v>11</v>
      </c>
      <c r="M882" s="12" t="s">
        <v>6198</v>
      </c>
      <c r="P882" s="12" t="s">
        <v>6199</v>
      </c>
      <c r="Q882" s="12">
        <v>1989</v>
      </c>
      <c r="R882" s="12" t="s">
        <v>6200</v>
      </c>
      <c r="S882" s="12" t="s">
        <v>6201</v>
      </c>
      <c r="T882" s="14" t="str">
        <f>"1.1"</f>
        <v>1.1</v>
      </c>
      <c r="Z882" s="12">
        <v>51</v>
      </c>
      <c r="AY882" s="14">
        <v>3292</v>
      </c>
      <c r="BH882" s="12">
        <v>304</v>
      </c>
      <c r="BJ882" s="13">
        <v>259</v>
      </c>
      <c r="BM882" s="12">
        <v>578</v>
      </c>
      <c r="BP882" s="12">
        <v>553</v>
      </c>
    </row>
    <row r="883" spans="1:117" s="12" customFormat="1" x14ac:dyDescent="0.2">
      <c r="A883" s="11" t="s">
        <v>6533</v>
      </c>
      <c r="B883" s="12" t="s">
        <v>55</v>
      </c>
      <c r="C883" s="12" t="s">
        <v>6195</v>
      </c>
      <c r="H883" s="12" t="s">
        <v>6381</v>
      </c>
      <c r="I883" s="12" t="s">
        <v>11</v>
      </c>
      <c r="J883" s="12" t="s">
        <v>6382</v>
      </c>
      <c r="M883" s="12" t="s">
        <v>6198</v>
      </c>
      <c r="P883" s="12" t="s">
        <v>6199</v>
      </c>
      <c r="Q883" s="12">
        <v>1989</v>
      </c>
      <c r="R883" s="12" t="s">
        <v>6200</v>
      </c>
      <c r="S883" s="12" t="s">
        <v>6201</v>
      </c>
      <c r="T883" s="14" t="str">
        <f t="shared" ref="T883:T903" si="6">"1.1"</f>
        <v>1.1</v>
      </c>
      <c r="Z883" s="12">
        <v>9</v>
      </c>
      <c r="AY883" s="14">
        <v>1565</v>
      </c>
      <c r="BD883" s="12">
        <v>0.1</v>
      </c>
      <c r="BH883" s="12">
        <v>1274</v>
      </c>
      <c r="BJ883" s="13">
        <v>172</v>
      </c>
      <c r="BK883" s="12">
        <v>1.23</v>
      </c>
      <c r="BM883" s="12">
        <v>364</v>
      </c>
      <c r="BP883" s="12">
        <v>1278</v>
      </c>
      <c r="BW883" s="12">
        <v>3.2</v>
      </c>
    </row>
    <row r="884" spans="1:117" s="12" customFormat="1" x14ac:dyDescent="0.2">
      <c r="A884" s="11" t="s">
        <v>6534</v>
      </c>
      <c r="B884" s="12" t="s">
        <v>55</v>
      </c>
      <c r="C884" s="12" t="s">
        <v>6195</v>
      </c>
      <c r="H884" s="12" t="s">
        <v>6383</v>
      </c>
      <c r="I884" s="12" t="s">
        <v>11</v>
      </c>
      <c r="J884" s="12" t="s">
        <v>6382</v>
      </c>
      <c r="M884" s="12" t="s">
        <v>6198</v>
      </c>
      <c r="P884" s="12" t="s">
        <v>6199</v>
      </c>
      <c r="Q884" s="12">
        <v>1989</v>
      </c>
      <c r="R884" s="12" t="s">
        <v>6200</v>
      </c>
      <c r="S884" s="12" t="s">
        <v>6201</v>
      </c>
      <c r="T884" s="14" t="str">
        <f t="shared" si="6"/>
        <v>1.1</v>
      </c>
      <c r="Z884" s="12">
        <v>6</v>
      </c>
      <c r="AY884" s="14">
        <v>1664</v>
      </c>
      <c r="BD884" s="12">
        <v>0.6</v>
      </c>
      <c r="BH884" s="12">
        <v>1184</v>
      </c>
      <c r="BJ884" s="13">
        <v>161</v>
      </c>
      <c r="BK884" s="12">
        <v>2.79</v>
      </c>
      <c r="BM884" s="12">
        <v>263</v>
      </c>
      <c r="BP884" s="12">
        <v>1369</v>
      </c>
      <c r="BW884" s="12">
        <v>3.7</v>
      </c>
    </row>
    <row r="885" spans="1:117" s="12" customFormat="1" x14ac:dyDescent="0.2">
      <c r="A885" s="11" t="s">
        <v>6535</v>
      </c>
      <c r="B885" s="12" t="s">
        <v>55</v>
      </c>
      <c r="C885" s="12" t="s">
        <v>6195</v>
      </c>
      <c r="H885" s="12" t="s">
        <v>6384</v>
      </c>
      <c r="I885" s="12" t="s">
        <v>11</v>
      </c>
      <c r="J885" s="12" t="s">
        <v>1212</v>
      </c>
      <c r="M885" s="12" t="s">
        <v>6198</v>
      </c>
      <c r="P885" s="12" t="s">
        <v>6199</v>
      </c>
      <c r="Q885" s="12">
        <v>1989</v>
      </c>
      <c r="R885" s="12" t="s">
        <v>6200</v>
      </c>
      <c r="S885" s="12" t="s">
        <v>6201</v>
      </c>
      <c r="T885" s="14" t="str">
        <f t="shared" si="6"/>
        <v>1.1</v>
      </c>
      <c r="Z885" s="12">
        <v>14</v>
      </c>
      <c r="AY885" s="14">
        <v>929</v>
      </c>
      <c r="BD885" s="12">
        <v>0.1</v>
      </c>
      <c r="BH885" s="12">
        <v>1273</v>
      </c>
      <c r="BJ885" s="13">
        <v>139</v>
      </c>
      <c r="BK885" s="12">
        <v>3.08</v>
      </c>
      <c r="BM885" s="12">
        <v>258</v>
      </c>
      <c r="BP885" s="12">
        <v>1016</v>
      </c>
      <c r="BW885" s="12">
        <v>5.8</v>
      </c>
    </row>
    <row r="886" spans="1:117" s="12" customFormat="1" x14ac:dyDescent="0.2">
      <c r="A886" s="11" t="s">
        <v>6536</v>
      </c>
      <c r="B886" s="12" t="s">
        <v>55</v>
      </c>
      <c r="C886" s="12" t="s">
        <v>6195</v>
      </c>
      <c r="H886" s="12" t="s">
        <v>6385</v>
      </c>
      <c r="I886" s="12" t="s">
        <v>11</v>
      </c>
      <c r="J886" s="12" t="s">
        <v>1212</v>
      </c>
      <c r="M886" s="12" t="s">
        <v>6198</v>
      </c>
      <c r="P886" s="12" t="s">
        <v>6199</v>
      </c>
      <c r="Q886" s="12">
        <v>1989</v>
      </c>
      <c r="R886" s="12" t="s">
        <v>6200</v>
      </c>
      <c r="S886" s="12" t="s">
        <v>6201</v>
      </c>
      <c r="T886" s="14" t="str">
        <f t="shared" si="6"/>
        <v>1.1</v>
      </c>
      <c r="Z886" s="12">
        <v>17</v>
      </c>
      <c r="AY886" s="14">
        <v>1145</v>
      </c>
      <c r="BD886" s="12">
        <v>0.2</v>
      </c>
      <c r="BH886" s="12">
        <v>1328</v>
      </c>
      <c r="BJ886" s="13">
        <v>143</v>
      </c>
      <c r="BK886" s="12">
        <v>3.4</v>
      </c>
      <c r="BM886" s="12">
        <v>340</v>
      </c>
      <c r="BP886" s="12">
        <v>1345</v>
      </c>
      <c r="BW886" s="12">
        <v>5.5</v>
      </c>
    </row>
    <row r="887" spans="1:117" s="12" customFormat="1" x14ac:dyDescent="0.2">
      <c r="A887" s="11" t="s">
        <v>6537</v>
      </c>
      <c r="B887" s="12" t="s">
        <v>55</v>
      </c>
      <c r="C887" s="12" t="s">
        <v>6195</v>
      </c>
      <c r="H887" s="12" t="s">
        <v>6386</v>
      </c>
      <c r="I887" s="12" t="s">
        <v>11</v>
      </c>
      <c r="J887" s="12" t="s">
        <v>6387</v>
      </c>
      <c r="M887" s="12" t="s">
        <v>6198</v>
      </c>
      <c r="P887" s="12" t="s">
        <v>6199</v>
      </c>
      <c r="Q887" s="12">
        <v>1989</v>
      </c>
      <c r="R887" s="12" t="s">
        <v>6200</v>
      </c>
      <c r="S887" s="12" t="s">
        <v>6201</v>
      </c>
      <c r="T887" s="14" t="str">
        <f t="shared" si="6"/>
        <v>1.1</v>
      </c>
      <c r="Z887" s="12">
        <v>8</v>
      </c>
      <c r="AY887" s="14">
        <v>2263</v>
      </c>
      <c r="BD887" s="12">
        <v>0.3</v>
      </c>
      <c r="BH887" s="12">
        <v>1205</v>
      </c>
      <c r="BJ887" s="13">
        <v>172</v>
      </c>
      <c r="BK887" s="12">
        <v>2.4900000000000002</v>
      </c>
      <c r="BM887" s="12">
        <v>359</v>
      </c>
      <c r="BP887" s="12">
        <v>1702</v>
      </c>
      <c r="BW887" s="12">
        <v>11.6</v>
      </c>
    </row>
    <row r="888" spans="1:117" s="12" customFormat="1" x14ac:dyDescent="0.2">
      <c r="A888" s="11" t="s">
        <v>6538</v>
      </c>
      <c r="B888" s="12" t="s">
        <v>55</v>
      </c>
      <c r="C888" s="12" t="s">
        <v>6195</v>
      </c>
      <c r="H888" s="12" t="s">
        <v>6388</v>
      </c>
      <c r="I888" s="12" t="s">
        <v>11</v>
      </c>
      <c r="J888" s="12" t="s">
        <v>6389</v>
      </c>
      <c r="M888" s="12" t="s">
        <v>6198</v>
      </c>
      <c r="P888" s="12" t="s">
        <v>6199</v>
      </c>
      <c r="Q888" s="12">
        <v>1989</v>
      </c>
      <c r="R888" s="12" t="s">
        <v>6200</v>
      </c>
      <c r="S888" s="12" t="s">
        <v>6201</v>
      </c>
      <c r="T888" s="14" t="str">
        <f t="shared" si="6"/>
        <v>1.1</v>
      </c>
      <c r="Z888" s="12">
        <v>13</v>
      </c>
      <c r="AY888" s="14">
        <v>1453</v>
      </c>
      <c r="BD888" s="12">
        <v>0.4</v>
      </c>
      <c r="BH888" s="12">
        <v>1235</v>
      </c>
      <c r="BJ888" s="13">
        <v>155</v>
      </c>
      <c r="BK888" s="12">
        <v>0.97</v>
      </c>
      <c r="BM888" s="12">
        <v>235</v>
      </c>
      <c r="BP888" s="12">
        <v>1630</v>
      </c>
      <c r="BW888" s="12">
        <v>25.4</v>
      </c>
    </row>
    <row r="889" spans="1:117" s="34" customFormat="1" x14ac:dyDescent="0.2">
      <c r="A889" s="11" t="s">
        <v>6630</v>
      </c>
      <c r="B889" s="34" t="s">
        <v>55</v>
      </c>
      <c r="C889" s="12" t="s">
        <v>6547</v>
      </c>
      <c r="D889" s="34" t="s">
        <v>2</v>
      </c>
      <c r="E889" s="12">
        <v>11</v>
      </c>
      <c r="F889" s="12" t="s">
        <v>2139</v>
      </c>
      <c r="G889" s="34" t="s">
        <v>2143</v>
      </c>
      <c r="H889" s="34" t="s">
        <v>6564</v>
      </c>
      <c r="I889" s="34" t="s">
        <v>7</v>
      </c>
      <c r="J889" s="34" t="s">
        <v>2142</v>
      </c>
      <c r="K889" s="40" t="s">
        <v>2143</v>
      </c>
      <c r="L889" s="34" t="s">
        <v>2142</v>
      </c>
      <c r="M889" s="34" t="s">
        <v>6586</v>
      </c>
      <c r="N889" s="34" t="s">
        <v>6591</v>
      </c>
      <c r="Q889" s="34">
        <v>2015</v>
      </c>
      <c r="R889" s="34" t="str">
        <f>"fi367"</f>
        <v>fi367</v>
      </c>
      <c r="S889" s="34" t="s">
        <v>27</v>
      </c>
      <c r="T889" s="14" t="str">
        <f t="shared" si="6"/>
        <v>1.1</v>
      </c>
      <c r="V889" s="34">
        <v>267</v>
      </c>
      <c r="Z889" s="34">
        <v>84.1</v>
      </c>
      <c r="AC889" s="34">
        <v>14.9</v>
      </c>
      <c r="AH889" s="34">
        <v>0.7</v>
      </c>
      <c r="AV889" s="34">
        <v>1</v>
      </c>
      <c r="AY889" s="34">
        <v>210</v>
      </c>
      <c r="BD889" s="34">
        <v>2.9000000000000001E-2</v>
      </c>
      <c r="BF889" s="34">
        <v>0.83</v>
      </c>
      <c r="BG889" s="36">
        <v>18</v>
      </c>
      <c r="BH889" s="36">
        <v>310</v>
      </c>
      <c r="BI889" s="36"/>
      <c r="BJ889" s="34">
        <v>28</v>
      </c>
      <c r="BK889" s="34">
        <v>7.0000000000000007E-2</v>
      </c>
      <c r="BM889" s="34">
        <v>74</v>
      </c>
      <c r="BP889" s="34">
        <v>260</v>
      </c>
      <c r="BR889" s="34">
        <v>170</v>
      </c>
      <c r="BS889" s="34">
        <v>27</v>
      </c>
      <c r="BW889" s="34">
        <v>1.1000000000000001</v>
      </c>
      <c r="CF889" s="36">
        <v>9</v>
      </c>
      <c r="CI889" s="35"/>
      <c r="CJ889" s="14">
        <v>15</v>
      </c>
      <c r="CM889" s="36" t="s">
        <v>17</v>
      </c>
      <c r="CN889" s="36"/>
      <c r="CO889" s="36"/>
      <c r="CP889" s="36"/>
      <c r="CQ889" s="14">
        <v>0.39</v>
      </c>
      <c r="CR889" s="34">
        <v>0.61599999999999999</v>
      </c>
      <c r="CV889" s="34" t="s">
        <v>17</v>
      </c>
      <c r="DK889" s="36" t="s">
        <v>17</v>
      </c>
      <c r="DL889" s="36"/>
      <c r="DM889" s="34">
        <v>5.57</v>
      </c>
    </row>
    <row r="890" spans="1:117" s="34" customFormat="1" x14ac:dyDescent="0.2">
      <c r="A890" s="11" t="s">
        <v>6631</v>
      </c>
      <c r="B890" s="34" t="s">
        <v>55</v>
      </c>
      <c r="C890" s="12" t="s">
        <v>6547</v>
      </c>
      <c r="D890" s="34" t="s">
        <v>2</v>
      </c>
      <c r="E890" s="12">
        <v>11</v>
      </c>
      <c r="F890" s="12" t="s">
        <v>2132</v>
      </c>
      <c r="G890" s="34" t="s">
        <v>5146</v>
      </c>
      <c r="H890" s="34" t="s">
        <v>6565</v>
      </c>
      <c r="I890" s="34" t="s">
        <v>7</v>
      </c>
      <c r="J890" s="34" t="s">
        <v>2135</v>
      </c>
      <c r="K890" s="40" t="s">
        <v>2136</v>
      </c>
      <c r="L890" s="34" t="s">
        <v>2135</v>
      </c>
      <c r="M890" s="34" t="s">
        <v>6586</v>
      </c>
      <c r="N890" s="34" t="s">
        <v>6591</v>
      </c>
      <c r="Q890" s="34">
        <v>2015</v>
      </c>
      <c r="R890" s="34" t="str">
        <f t="shared" ref="R890:R899" si="7">"fi367"</f>
        <v>fi367</v>
      </c>
      <c r="S890" s="34" t="s">
        <v>27</v>
      </c>
      <c r="T890" s="14" t="str">
        <f t="shared" si="6"/>
        <v>1.1</v>
      </c>
      <c r="V890" s="34">
        <v>363</v>
      </c>
      <c r="Z890" s="34">
        <v>78.900000000000006</v>
      </c>
      <c r="AC890" s="34">
        <v>18.899999999999999</v>
      </c>
      <c r="AH890" s="34">
        <v>1.1000000000000001</v>
      </c>
      <c r="AV890" s="34">
        <v>1.1000000000000001</v>
      </c>
      <c r="AY890" s="34">
        <v>960</v>
      </c>
      <c r="BF890" s="34">
        <v>2.5</v>
      </c>
      <c r="BG890" s="36">
        <v>15</v>
      </c>
      <c r="BH890" s="36">
        <v>266</v>
      </c>
      <c r="BI890" s="36"/>
      <c r="BJ890" s="34">
        <v>39</v>
      </c>
      <c r="BM890" s="34">
        <v>71</v>
      </c>
      <c r="BS890" s="34">
        <v>19</v>
      </c>
      <c r="BW890" s="34">
        <v>1.5</v>
      </c>
      <c r="CF890" s="36">
        <v>9</v>
      </c>
      <c r="CI890" s="35"/>
      <c r="CJ890" s="14">
        <v>13</v>
      </c>
      <c r="CM890" s="37" t="s">
        <v>6605</v>
      </c>
      <c r="CN890" s="37"/>
      <c r="CO890" s="37"/>
      <c r="CP890" s="37"/>
      <c r="CQ890" s="14" t="s">
        <v>17</v>
      </c>
      <c r="CR890" s="34">
        <v>1.17</v>
      </c>
      <c r="CV890" s="34">
        <v>0.12</v>
      </c>
      <c r="DK890" s="36" t="s">
        <v>17</v>
      </c>
      <c r="DL890" s="36"/>
      <c r="DM890" s="34">
        <v>5.05</v>
      </c>
    </row>
    <row r="891" spans="1:117" s="34" customFormat="1" x14ac:dyDescent="0.2">
      <c r="A891" s="11" t="s">
        <v>6632</v>
      </c>
      <c r="B891" s="34" t="s">
        <v>55</v>
      </c>
      <c r="C891" s="12" t="s">
        <v>6547</v>
      </c>
      <c r="D891" s="34" t="s">
        <v>2</v>
      </c>
      <c r="E891" s="12">
        <v>11</v>
      </c>
      <c r="F891" s="12" t="s">
        <v>2124</v>
      </c>
      <c r="G891" s="34" t="s">
        <v>5153</v>
      </c>
      <c r="H891" s="34" t="s">
        <v>6566</v>
      </c>
      <c r="I891" s="34" t="s">
        <v>7</v>
      </c>
      <c r="J891" s="34" t="s">
        <v>2165</v>
      </c>
      <c r="K891" s="40" t="s">
        <v>2128</v>
      </c>
      <c r="L891" s="34" t="s">
        <v>2165</v>
      </c>
      <c r="M891" s="34" t="s">
        <v>6586</v>
      </c>
      <c r="N891" s="34" t="s">
        <v>6592</v>
      </c>
      <c r="Q891" s="34">
        <v>2015</v>
      </c>
      <c r="R891" s="34" t="str">
        <f t="shared" si="7"/>
        <v>fi367</v>
      </c>
      <c r="S891" s="34" t="s">
        <v>27</v>
      </c>
      <c r="T891" s="14" t="str">
        <f t="shared" si="6"/>
        <v>1.1</v>
      </c>
      <c r="V891" s="34">
        <v>422</v>
      </c>
      <c r="Z891" s="34">
        <v>77.7</v>
      </c>
      <c r="AC891" s="34">
        <v>18.2</v>
      </c>
      <c r="AH891" s="34">
        <v>3</v>
      </c>
      <c r="AV891" s="34">
        <v>1</v>
      </c>
      <c r="AY891" s="34">
        <v>51</v>
      </c>
      <c r="BD891" s="34">
        <v>3.7999999999999999E-2</v>
      </c>
      <c r="BF891" s="34">
        <v>0.98</v>
      </c>
      <c r="BG891" s="36">
        <v>20</v>
      </c>
      <c r="BH891" s="36">
        <v>330</v>
      </c>
      <c r="BI891" s="36"/>
      <c r="BJ891" s="34">
        <v>28</v>
      </c>
      <c r="BK891" s="34">
        <v>5.0999999999999997E-2</v>
      </c>
      <c r="BM891" s="34">
        <v>61</v>
      </c>
      <c r="BP891" s="34">
        <v>210</v>
      </c>
      <c r="BR891" s="34">
        <v>200</v>
      </c>
      <c r="BS891" s="34">
        <v>29</v>
      </c>
      <c r="BW891" s="34">
        <v>1</v>
      </c>
      <c r="CF891" s="36"/>
      <c r="CI891" s="35"/>
      <c r="CJ891" s="14"/>
      <c r="DK891" s="36"/>
      <c r="DL891" s="36"/>
    </row>
    <row r="892" spans="1:117" s="34" customFormat="1" x14ac:dyDescent="0.2">
      <c r="A892" s="11" t="s">
        <v>6633</v>
      </c>
      <c r="B892" s="34" t="s">
        <v>55</v>
      </c>
      <c r="C892" s="12" t="s">
        <v>6548</v>
      </c>
      <c r="D892" s="34" t="s">
        <v>2</v>
      </c>
      <c r="E892" s="12">
        <v>11</v>
      </c>
      <c r="F892" s="12" t="s">
        <v>1390</v>
      </c>
      <c r="G892" s="34" t="s">
        <v>6554</v>
      </c>
      <c r="H892" s="34" t="s">
        <v>6567</v>
      </c>
      <c r="I892" s="34" t="s">
        <v>7</v>
      </c>
      <c r="J892" s="34" t="s">
        <v>1393</v>
      </c>
      <c r="K892" s="40" t="s">
        <v>1394</v>
      </c>
      <c r="L892" s="34" t="s">
        <v>1393</v>
      </c>
      <c r="M892" s="34" t="s">
        <v>6586</v>
      </c>
      <c r="N892" s="34" t="s">
        <v>6593</v>
      </c>
      <c r="Q892" s="34">
        <v>2015</v>
      </c>
      <c r="R892" s="34" t="str">
        <f t="shared" si="7"/>
        <v>fi367</v>
      </c>
      <c r="S892" s="34" t="s">
        <v>27</v>
      </c>
      <c r="T892" s="14" t="str">
        <f t="shared" si="6"/>
        <v>1.1</v>
      </c>
      <c r="V892" s="34">
        <v>381</v>
      </c>
      <c r="Z892" s="34">
        <v>80</v>
      </c>
      <c r="AC892" s="34">
        <v>16.399999999999999</v>
      </c>
      <c r="AH892" s="34">
        <v>2.9</v>
      </c>
      <c r="AV892" s="34">
        <v>1</v>
      </c>
      <c r="AY892" s="34">
        <v>37</v>
      </c>
      <c r="BD892" s="34">
        <v>3.3000000000000002E-2</v>
      </c>
      <c r="BF892" s="34">
        <v>1.1000000000000001</v>
      </c>
      <c r="BG892" s="36">
        <v>13</v>
      </c>
      <c r="BH892" s="36">
        <v>300</v>
      </c>
      <c r="BI892" s="36"/>
      <c r="BJ892" s="34">
        <v>26</v>
      </c>
      <c r="BK892" s="34">
        <v>0.02</v>
      </c>
      <c r="BM892" s="34">
        <v>67</v>
      </c>
      <c r="BP892" s="34">
        <v>180</v>
      </c>
      <c r="BR892" s="34">
        <v>190</v>
      </c>
      <c r="BS892" s="34">
        <v>22</v>
      </c>
      <c r="BW892" s="34">
        <v>2.2000000000000002</v>
      </c>
      <c r="CF892" s="36"/>
      <c r="CI892" s="14"/>
      <c r="CJ892" s="14"/>
      <c r="DK892" s="36"/>
      <c r="DL892" s="36"/>
    </row>
    <row r="893" spans="1:117" s="34" customFormat="1" x14ac:dyDescent="0.2">
      <c r="A893" s="11" t="s">
        <v>6634</v>
      </c>
      <c r="B893" s="34" t="s">
        <v>55</v>
      </c>
      <c r="C893" s="12" t="s">
        <v>6547</v>
      </c>
      <c r="D893" s="34" t="s">
        <v>2</v>
      </c>
      <c r="E893" s="12">
        <v>11</v>
      </c>
      <c r="F893" s="12" t="s">
        <v>2896</v>
      </c>
      <c r="G893" s="34" t="s">
        <v>6555</v>
      </c>
      <c r="H893" s="34" t="s">
        <v>6568</v>
      </c>
      <c r="I893" s="34" t="s">
        <v>7</v>
      </c>
      <c r="J893" s="34" t="s">
        <v>6577</v>
      </c>
      <c r="K893" s="40" t="s">
        <v>6583</v>
      </c>
      <c r="L893" s="34" t="s">
        <v>2898</v>
      </c>
      <c r="M893" s="34" t="s">
        <v>6586</v>
      </c>
      <c r="N893" s="34" t="s">
        <v>6593</v>
      </c>
      <c r="Q893" s="34">
        <v>2015</v>
      </c>
      <c r="R893" s="34" t="str">
        <f t="shared" si="7"/>
        <v>fi367</v>
      </c>
      <c r="S893" s="34" t="s">
        <v>27</v>
      </c>
      <c r="T893" s="14" t="str">
        <f t="shared" si="6"/>
        <v>1.1</v>
      </c>
      <c r="V893" s="34">
        <v>341</v>
      </c>
      <c r="Z893" s="34">
        <v>80.2</v>
      </c>
      <c r="AC893" s="34">
        <v>15.2</v>
      </c>
      <c r="AH893" s="34">
        <v>1.1000000000000001</v>
      </c>
      <c r="AV893" s="34">
        <v>1.1000000000000001</v>
      </c>
      <c r="AY893" s="34">
        <v>54</v>
      </c>
      <c r="BD893" s="34">
        <v>3.4000000000000002E-2</v>
      </c>
      <c r="BF893" s="34">
        <v>0.46</v>
      </c>
      <c r="BG893" s="36" t="s">
        <v>17</v>
      </c>
      <c r="BH893" s="36">
        <v>300</v>
      </c>
      <c r="BI893" s="36"/>
      <c r="BJ893" s="34">
        <v>27</v>
      </c>
      <c r="BK893" s="34">
        <v>1.7999999999999999E-2</v>
      </c>
      <c r="BM893" s="34">
        <v>73</v>
      </c>
      <c r="BP893" s="34">
        <v>190</v>
      </c>
      <c r="BR893" s="34">
        <v>170</v>
      </c>
      <c r="BS893" s="34">
        <v>31</v>
      </c>
      <c r="BW893" s="34">
        <v>0.91</v>
      </c>
      <c r="CF893" s="36"/>
      <c r="CI893" s="14"/>
      <c r="CJ893" s="14"/>
      <c r="DK893" s="36"/>
      <c r="DL893" s="36"/>
    </row>
    <row r="894" spans="1:117" s="34" customFormat="1" x14ac:dyDescent="0.2">
      <c r="A894" s="11" t="s">
        <v>6635</v>
      </c>
      <c r="B894" s="34" t="s">
        <v>55</v>
      </c>
      <c r="C894" s="12" t="s">
        <v>6547</v>
      </c>
      <c r="D894" s="34" t="s">
        <v>2</v>
      </c>
      <c r="E894" s="12">
        <v>11</v>
      </c>
      <c r="F894" s="12" t="s">
        <v>1313</v>
      </c>
      <c r="G894" s="34" t="s">
        <v>6556</v>
      </c>
      <c r="H894" s="34" t="s">
        <v>6569</v>
      </c>
      <c r="I894" s="34" t="s">
        <v>7</v>
      </c>
      <c r="J894" s="34" t="s">
        <v>1315</v>
      </c>
      <c r="K894" s="40" t="s">
        <v>1316</v>
      </c>
      <c r="L894" s="34" t="s">
        <v>1315</v>
      </c>
      <c r="M894" s="34" t="s">
        <v>6586</v>
      </c>
      <c r="N894" s="34" t="s">
        <v>6594</v>
      </c>
      <c r="Q894" s="34">
        <v>2015</v>
      </c>
      <c r="R894" s="34" t="str">
        <f t="shared" si="7"/>
        <v>fi367</v>
      </c>
      <c r="S894" s="34" t="s">
        <v>27</v>
      </c>
      <c r="T894" s="14" t="str">
        <f t="shared" si="6"/>
        <v>1.1</v>
      </c>
      <c r="V894" s="34">
        <v>435</v>
      </c>
      <c r="Z894" s="34">
        <v>77.8</v>
      </c>
      <c r="AC894" s="34">
        <v>17.2</v>
      </c>
      <c r="AH894" s="34">
        <v>4.0999999999999996</v>
      </c>
      <c r="AV894" s="34">
        <v>1.5</v>
      </c>
      <c r="AY894" s="34">
        <v>903</v>
      </c>
      <c r="BF894" s="34">
        <v>4.4000000000000004</v>
      </c>
      <c r="BG894" s="36" t="s">
        <v>17</v>
      </c>
      <c r="BH894" s="36">
        <v>225</v>
      </c>
      <c r="BI894" s="36"/>
      <c r="BJ894" s="34">
        <v>34</v>
      </c>
      <c r="BM894" s="34">
        <v>96</v>
      </c>
      <c r="BS894" s="37" t="s">
        <v>62</v>
      </c>
      <c r="BT894" s="37"/>
      <c r="BW894" s="34">
        <v>1.4</v>
      </c>
      <c r="CF894" s="36" t="s">
        <v>17</v>
      </c>
      <c r="CI894" s="14"/>
      <c r="CJ894" s="14" t="s">
        <v>17</v>
      </c>
      <c r="CR894" s="34">
        <v>0.24</v>
      </c>
      <c r="CV894" s="34">
        <v>0.49</v>
      </c>
      <c r="DK894" s="36">
        <v>7.7</v>
      </c>
      <c r="DL894" s="36"/>
      <c r="DM894" s="34">
        <v>0.55000000000000004</v>
      </c>
    </row>
    <row r="895" spans="1:117" s="34" customFormat="1" x14ac:dyDescent="0.2">
      <c r="A895" s="11" t="s">
        <v>6636</v>
      </c>
      <c r="B895" s="34" t="s">
        <v>55</v>
      </c>
      <c r="C895" s="12" t="s">
        <v>6547</v>
      </c>
      <c r="D895" s="34" t="s">
        <v>2</v>
      </c>
      <c r="E895" s="12">
        <v>13</v>
      </c>
      <c r="F895" s="12" t="s">
        <v>1266</v>
      </c>
      <c r="G895" s="34" t="s">
        <v>6557</v>
      </c>
      <c r="H895" s="34" t="s">
        <v>6570</v>
      </c>
      <c r="I895" s="34" t="s">
        <v>7</v>
      </c>
      <c r="J895" s="34" t="s">
        <v>6578</v>
      </c>
      <c r="K895" s="34" t="s">
        <v>1269</v>
      </c>
      <c r="L895" s="34" t="s">
        <v>1268</v>
      </c>
      <c r="M895" s="34" t="s">
        <v>6586</v>
      </c>
      <c r="N895" s="34" t="s">
        <v>6594</v>
      </c>
      <c r="Q895" s="34">
        <v>2015</v>
      </c>
      <c r="R895" s="34" t="str">
        <f t="shared" si="7"/>
        <v>fi367</v>
      </c>
      <c r="S895" s="34" t="s">
        <v>27</v>
      </c>
      <c r="T895" s="14" t="str">
        <f t="shared" si="6"/>
        <v>1.1</v>
      </c>
      <c r="V895" s="34">
        <v>925</v>
      </c>
      <c r="Z895" s="34">
        <v>65.5</v>
      </c>
      <c r="AC895" s="34">
        <v>16</v>
      </c>
      <c r="AH895" s="34">
        <v>17.7</v>
      </c>
      <c r="AV895" s="34">
        <v>0.9</v>
      </c>
      <c r="AY895" s="34">
        <v>8.6</v>
      </c>
      <c r="BD895" s="34">
        <v>2.3E-2</v>
      </c>
      <c r="BF895" s="34">
        <v>0.69</v>
      </c>
      <c r="BG895" s="36" t="s">
        <v>17</v>
      </c>
      <c r="BH895" s="36">
        <v>250</v>
      </c>
      <c r="BI895" s="36"/>
      <c r="BJ895" s="34">
        <v>21</v>
      </c>
      <c r="BK895" s="34">
        <v>0.01</v>
      </c>
      <c r="BM895" s="34">
        <v>47</v>
      </c>
      <c r="BP895" s="34">
        <v>150</v>
      </c>
      <c r="BR895" s="34">
        <v>220</v>
      </c>
      <c r="BS895" s="34">
        <v>19</v>
      </c>
      <c r="BW895" s="34">
        <v>0.65</v>
      </c>
      <c r="CF895" s="36" t="s">
        <v>17</v>
      </c>
      <c r="CI895" s="14"/>
      <c r="CJ895" s="14">
        <v>31</v>
      </c>
      <c r="CR895" s="34">
        <v>0.13</v>
      </c>
      <c r="CV895" s="34">
        <v>0.32</v>
      </c>
      <c r="DK895" s="36">
        <v>9</v>
      </c>
      <c r="DL895" s="36"/>
      <c r="DM895" s="34">
        <v>1.5</v>
      </c>
    </row>
    <row r="896" spans="1:117" s="34" customFormat="1" x14ac:dyDescent="0.2">
      <c r="A896" s="11" t="s">
        <v>6637</v>
      </c>
      <c r="B896" s="34" t="s">
        <v>55</v>
      </c>
      <c r="C896" s="12" t="s">
        <v>6549</v>
      </c>
      <c r="D896" s="34" t="s">
        <v>2</v>
      </c>
      <c r="E896" s="12">
        <v>13</v>
      </c>
      <c r="F896" s="12" t="s">
        <v>1266</v>
      </c>
      <c r="G896" s="34" t="s">
        <v>6558</v>
      </c>
      <c r="H896" s="34" t="s">
        <v>6570</v>
      </c>
      <c r="I896" s="34" t="s">
        <v>7</v>
      </c>
      <c r="J896" s="34" t="s">
        <v>6579</v>
      </c>
      <c r="K896" s="34" t="s">
        <v>1269</v>
      </c>
      <c r="L896" s="34" t="s">
        <v>1268</v>
      </c>
      <c r="M896" s="34" t="s">
        <v>6586</v>
      </c>
      <c r="N896" s="34" t="s">
        <v>6595</v>
      </c>
      <c r="Q896" s="34">
        <v>2015</v>
      </c>
      <c r="R896" s="34" t="str">
        <f t="shared" si="7"/>
        <v>fi367</v>
      </c>
      <c r="S896" s="34" t="s">
        <v>27</v>
      </c>
      <c r="T896" s="14" t="str">
        <f t="shared" si="6"/>
        <v>1.1</v>
      </c>
      <c r="V896" s="34">
        <v>360</v>
      </c>
      <c r="Z896" s="34">
        <v>79.2</v>
      </c>
      <c r="AC896" s="34">
        <v>18.600000000000001</v>
      </c>
      <c r="AH896" s="34">
        <v>1.4</v>
      </c>
      <c r="AV896" s="34">
        <v>1.4</v>
      </c>
      <c r="AY896" s="34">
        <v>59</v>
      </c>
      <c r="BD896" s="34">
        <v>8.5999999999999993E-2</v>
      </c>
      <c r="BF896" s="34">
        <v>2.7</v>
      </c>
      <c r="BG896" s="36">
        <v>17</v>
      </c>
      <c r="BH896" s="36">
        <v>260</v>
      </c>
      <c r="BI896" s="36"/>
      <c r="BJ896" s="34">
        <v>21</v>
      </c>
      <c r="BK896" s="34">
        <v>9.1999999999999998E-2</v>
      </c>
      <c r="BM896" s="34">
        <v>81</v>
      </c>
      <c r="BP896" s="34">
        <v>160</v>
      </c>
      <c r="BR896" s="34">
        <v>170</v>
      </c>
      <c r="BS896" s="34">
        <v>11</v>
      </c>
      <c r="BW896" s="34">
        <v>1.1000000000000001</v>
      </c>
      <c r="CF896" s="36" t="s">
        <v>17</v>
      </c>
      <c r="CI896" s="14"/>
      <c r="CJ896" s="14">
        <v>12</v>
      </c>
      <c r="CR896" s="34">
        <v>0.12</v>
      </c>
      <c r="CV896" s="34">
        <v>0.1</v>
      </c>
      <c r="DK896" s="36">
        <v>15</v>
      </c>
      <c r="DL896" s="36"/>
      <c r="DM896" s="34">
        <v>14</v>
      </c>
    </row>
    <row r="897" spans="1:153" s="34" customFormat="1" x14ac:dyDescent="0.2">
      <c r="A897" s="11" t="s">
        <v>6638</v>
      </c>
      <c r="B897" s="34" t="s">
        <v>55</v>
      </c>
      <c r="C897" s="12" t="s">
        <v>6547</v>
      </c>
      <c r="D897" s="34" t="s">
        <v>2</v>
      </c>
      <c r="E897" s="12">
        <v>11</v>
      </c>
      <c r="F897" s="12" t="s">
        <v>6553</v>
      </c>
      <c r="G897" s="34" t="s">
        <v>6559</v>
      </c>
      <c r="H897" s="34" t="s">
        <v>6571</v>
      </c>
      <c r="I897" s="34" t="s">
        <v>7</v>
      </c>
      <c r="J897" s="34" t="s">
        <v>6580</v>
      </c>
      <c r="K897" s="40" t="s">
        <v>6584</v>
      </c>
      <c r="L897" s="34" t="s">
        <v>6580</v>
      </c>
      <c r="M897" s="34" t="s">
        <v>6586</v>
      </c>
      <c r="N897" s="34" t="s">
        <v>6593</v>
      </c>
      <c r="Q897" s="34">
        <v>2015</v>
      </c>
      <c r="R897" s="34" t="str">
        <f t="shared" si="7"/>
        <v>fi367</v>
      </c>
      <c r="S897" s="34" t="s">
        <v>27</v>
      </c>
      <c r="T897" s="14" t="str">
        <f t="shared" si="6"/>
        <v>1.1</v>
      </c>
      <c r="V897" s="34">
        <v>466</v>
      </c>
      <c r="Z897" s="34">
        <v>76.2</v>
      </c>
      <c r="AC897" s="34">
        <v>18.399999999999999</v>
      </c>
      <c r="AH897" s="34">
        <v>4.4000000000000004</v>
      </c>
      <c r="AV897" s="34">
        <v>1.6</v>
      </c>
      <c r="AY897" s="34">
        <v>270</v>
      </c>
      <c r="BD897" s="34">
        <v>3.5999999999999997E-2</v>
      </c>
      <c r="BF897" s="34">
        <v>1.6</v>
      </c>
      <c r="BG897" s="36">
        <v>38</v>
      </c>
      <c r="BH897" s="36">
        <v>240</v>
      </c>
      <c r="BI897" s="36"/>
      <c r="BJ897" s="34">
        <v>29</v>
      </c>
      <c r="BK897" s="34">
        <v>7.2999999999999995E-2</v>
      </c>
      <c r="BM897" s="34">
        <v>72</v>
      </c>
      <c r="BP897" s="34">
        <v>280</v>
      </c>
      <c r="BR897" s="34">
        <v>250</v>
      </c>
      <c r="BS897" s="34">
        <v>22</v>
      </c>
      <c r="BW897" s="34">
        <v>1.8</v>
      </c>
      <c r="CF897" s="36">
        <v>12</v>
      </c>
      <c r="CI897" s="14"/>
      <c r="CJ897" s="14">
        <v>12</v>
      </c>
      <c r="CR897" s="34">
        <v>23</v>
      </c>
      <c r="CV897" s="34">
        <v>0.32</v>
      </c>
      <c r="DK897" s="36">
        <v>2.2000000000000002</v>
      </c>
      <c r="DL897" s="36"/>
      <c r="DM897" s="34">
        <v>2.2000000000000002</v>
      </c>
    </row>
    <row r="898" spans="1:153" s="34" customFormat="1" x14ac:dyDescent="0.2">
      <c r="A898" s="11" t="s">
        <v>6639</v>
      </c>
      <c r="B898" s="34" t="s">
        <v>55</v>
      </c>
      <c r="C898" s="12" t="s">
        <v>6547</v>
      </c>
      <c r="D898" s="34" t="s">
        <v>2</v>
      </c>
      <c r="E898" s="12">
        <v>12</v>
      </c>
      <c r="F898" s="12" t="s">
        <v>1374</v>
      </c>
      <c r="G898" s="34" t="s">
        <v>2517</v>
      </c>
      <c r="H898" s="34" t="s">
        <v>6572</v>
      </c>
      <c r="I898" s="34" t="s">
        <v>7</v>
      </c>
      <c r="J898" s="34" t="s">
        <v>1376</v>
      </c>
      <c r="K898" s="40" t="s">
        <v>1377</v>
      </c>
      <c r="L898" s="34" t="s">
        <v>1376</v>
      </c>
      <c r="M898" s="34" t="s">
        <v>6586</v>
      </c>
      <c r="N898" s="34" t="s">
        <v>6591</v>
      </c>
      <c r="Q898" s="34">
        <v>2015</v>
      </c>
      <c r="R898" s="34" t="str">
        <f t="shared" si="7"/>
        <v>fi367</v>
      </c>
      <c r="S898" s="34" t="s">
        <v>27</v>
      </c>
      <c r="T898" s="14" t="str">
        <f t="shared" si="6"/>
        <v>1.1</v>
      </c>
      <c r="V898" s="34">
        <v>390</v>
      </c>
      <c r="Z898" s="34">
        <v>77.599999999999994</v>
      </c>
      <c r="AC898" s="34">
        <v>19.5</v>
      </c>
      <c r="AH898" s="34">
        <v>2</v>
      </c>
      <c r="AV898" s="34">
        <v>1.8</v>
      </c>
      <c r="AY898" s="34">
        <v>95</v>
      </c>
      <c r="BD898" s="34">
        <v>3.1E-2</v>
      </c>
      <c r="BF898" s="34">
        <v>1.1000000000000001</v>
      </c>
      <c r="BG898" s="36">
        <v>11</v>
      </c>
      <c r="BH898" s="36">
        <v>280</v>
      </c>
      <c r="BI898" s="36"/>
      <c r="BJ898" s="34">
        <v>26</v>
      </c>
      <c r="BK898" s="34">
        <v>5.1999999999999998E-2</v>
      </c>
      <c r="BM898" s="34">
        <v>81</v>
      </c>
      <c r="BP898" s="34">
        <v>190</v>
      </c>
      <c r="BR898" s="34">
        <v>240</v>
      </c>
      <c r="BS898" s="34">
        <v>26</v>
      </c>
      <c r="BW898" s="34">
        <v>1.2</v>
      </c>
      <c r="CF898" s="36">
        <v>10</v>
      </c>
      <c r="CI898" s="14"/>
      <c r="CJ898" s="14">
        <v>10</v>
      </c>
      <c r="CR898" s="34">
        <v>6.3</v>
      </c>
      <c r="CV898" s="34">
        <v>0.4</v>
      </c>
      <c r="DK898" s="36">
        <v>7.6</v>
      </c>
      <c r="DL898" s="36"/>
      <c r="DM898" s="34">
        <v>0.7</v>
      </c>
    </row>
    <row r="899" spans="1:153" s="34" customFormat="1" x14ac:dyDescent="0.2">
      <c r="A899" s="11" t="s">
        <v>6640</v>
      </c>
      <c r="B899" s="34" t="s">
        <v>55</v>
      </c>
      <c r="C899" s="12" t="s">
        <v>6547</v>
      </c>
      <c r="D899" s="34" t="s">
        <v>2</v>
      </c>
      <c r="E899" s="12">
        <v>12</v>
      </c>
      <c r="F899" s="12" t="s">
        <v>1374</v>
      </c>
      <c r="G899" s="34" t="s">
        <v>6560</v>
      </c>
      <c r="H899" s="34" t="s">
        <v>6572</v>
      </c>
      <c r="I899" s="34" t="s">
        <v>7</v>
      </c>
      <c r="J899" s="34" t="s">
        <v>6581</v>
      </c>
      <c r="K899" s="40" t="s">
        <v>1377</v>
      </c>
      <c r="L899" s="34" t="s">
        <v>1376</v>
      </c>
      <c r="M899" s="34" t="s">
        <v>6586</v>
      </c>
      <c r="N899" s="34" t="s">
        <v>6591</v>
      </c>
      <c r="Q899" s="34">
        <v>2015</v>
      </c>
      <c r="R899" s="34" t="str">
        <f t="shared" si="7"/>
        <v>fi367</v>
      </c>
      <c r="S899" s="34" t="s">
        <v>27</v>
      </c>
      <c r="T899" s="14" t="str">
        <f t="shared" si="6"/>
        <v>1.1</v>
      </c>
      <c r="V899" s="34">
        <v>412</v>
      </c>
      <c r="Z899" s="34">
        <v>77.5</v>
      </c>
      <c r="AC899" s="34">
        <v>19</v>
      </c>
      <c r="AH899" s="34">
        <v>2.6</v>
      </c>
      <c r="AV899" s="34">
        <v>1.3</v>
      </c>
      <c r="AY899" s="34">
        <v>120</v>
      </c>
      <c r="BD899" s="34">
        <v>4.1000000000000002E-2</v>
      </c>
      <c r="BF899" s="34">
        <v>1.6</v>
      </c>
      <c r="BG899" s="36" t="s">
        <v>17</v>
      </c>
      <c r="BH899" s="36">
        <v>320</v>
      </c>
      <c r="BI899" s="36"/>
      <c r="BJ899" s="34">
        <v>26</v>
      </c>
      <c r="BK899" s="34">
        <v>0.13</v>
      </c>
      <c r="BM899" s="34">
        <v>52</v>
      </c>
      <c r="BP899" s="34">
        <v>220</v>
      </c>
      <c r="BR899" s="34">
        <v>270</v>
      </c>
      <c r="BS899" s="34">
        <v>52</v>
      </c>
      <c r="BW899" s="34">
        <v>1.4</v>
      </c>
      <c r="CF899" s="36">
        <v>10</v>
      </c>
      <c r="CI899" s="14"/>
      <c r="CJ899" s="14">
        <v>21</v>
      </c>
      <c r="CR899" s="34">
        <v>34</v>
      </c>
      <c r="CV899" s="34">
        <v>1.5</v>
      </c>
      <c r="DK899" s="36">
        <v>8</v>
      </c>
      <c r="DL899" s="36"/>
      <c r="DM899" s="34">
        <v>2.5</v>
      </c>
    </row>
    <row r="900" spans="1:153" s="34" customFormat="1" x14ac:dyDescent="0.2">
      <c r="A900" s="11" t="s">
        <v>6641</v>
      </c>
      <c r="B900" s="34" t="s">
        <v>55</v>
      </c>
      <c r="C900" s="12" t="s">
        <v>6550</v>
      </c>
      <c r="D900" s="34" t="s">
        <v>2</v>
      </c>
      <c r="E900" s="12">
        <v>31</v>
      </c>
      <c r="F900" s="12" t="s">
        <v>2190</v>
      </c>
      <c r="G900" s="34" t="s">
        <v>6561</v>
      </c>
      <c r="H900" s="34" t="s">
        <v>6573</v>
      </c>
      <c r="I900" s="34" t="s">
        <v>7</v>
      </c>
      <c r="J900" s="34" t="s">
        <v>6582</v>
      </c>
      <c r="K900" s="40" t="s">
        <v>6585</v>
      </c>
      <c r="L900" s="34" t="s">
        <v>6582</v>
      </c>
      <c r="M900" s="34" t="s">
        <v>6587</v>
      </c>
      <c r="N900" s="34" t="s">
        <v>6596</v>
      </c>
      <c r="Q900" s="36" t="s">
        <v>6599</v>
      </c>
      <c r="R900" s="34" t="str">
        <f>"fi361"</f>
        <v>fi361</v>
      </c>
      <c r="S900" s="34" t="s">
        <v>6600</v>
      </c>
      <c r="T900" s="14" t="str">
        <f t="shared" si="6"/>
        <v>1.1</v>
      </c>
      <c r="V900" s="34">
        <v>429</v>
      </c>
      <c r="W900" s="34">
        <v>102</v>
      </c>
      <c r="Z900" s="34">
        <v>74</v>
      </c>
      <c r="AA900" s="34">
        <v>6.25</v>
      </c>
      <c r="AC900" s="34">
        <v>20</v>
      </c>
      <c r="AI900" s="34">
        <v>2.4</v>
      </c>
      <c r="AK900" s="34">
        <v>0.53</v>
      </c>
      <c r="AL900" s="34">
        <v>0.64</v>
      </c>
      <c r="AM900" s="34">
        <v>0.9</v>
      </c>
      <c r="AV900" s="34">
        <v>1.2</v>
      </c>
      <c r="AY900" s="34">
        <v>6.3</v>
      </c>
      <c r="BD900" s="34">
        <v>0.03</v>
      </c>
      <c r="BF900" s="34">
        <v>0.12</v>
      </c>
      <c r="BG900" s="36">
        <v>6</v>
      </c>
      <c r="BH900" s="36">
        <v>484</v>
      </c>
      <c r="BI900" s="36"/>
      <c r="BJ900" s="34">
        <v>27</v>
      </c>
      <c r="BM900" s="34">
        <v>45</v>
      </c>
      <c r="BP900" s="34">
        <v>229</v>
      </c>
      <c r="BS900" s="34">
        <v>30</v>
      </c>
      <c r="BW900" s="34">
        <v>0.44</v>
      </c>
      <c r="CI900" s="34">
        <v>3.3</v>
      </c>
      <c r="CR900" s="34">
        <v>2.1</v>
      </c>
      <c r="CS900" s="36" t="s">
        <v>6610</v>
      </c>
      <c r="CV900" s="34">
        <v>0.89</v>
      </c>
      <c r="CW900" s="36" t="s">
        <v>6613</v>
      </c>
      <c r="CX900" s="36" t="s">
        <v>6614</v>
      </c>
      <c r="CY900" s="34">
        <v>7.0000000000000007E-2</v>
      </c>
      <c r="DB900" s="34">
        <v>0.14000000000000001</v>
      </c>
      <c r="DC900" s="34">
        <v>8.1999999999999993</v>
      </c>
      <c r="DG900" s="34">
        <v>0.39</v>
      </c>
      <c r="DK900" s="34">
        <v>7</v>
      </c>
      <c r="DM900" s="34">
        <v>1.8</v>
      </c>
      <c r="EW900" s="34">
        <v>81</v>
      </c>
    </row>
    <row r="901" spans="1:153" s="34" customFormat="1" x14ac:dyDescent="0.2">
      <c r="A901" s="11" t="s">
        <v>6642</v>
      </c>
      <c r="B901" s="34" t="s">
        <v>55</v>
      </c>
      <c r="C901" s="12" t="s">
        <v>6551</v>
      </c>
      <c r="D901" s="34" t="s">
        <v>2</v>
      </c>
      <c r="E901" s="12">
        <v>32</v>
      </c>
      <c r="F901" s="12" t="s">
        <v>1748</v>
      </c>
      <c r="G901" s="34" t="s">
        <v>6562</v>
      </c>
      <c r="H901" s="34" t="s">
        <v>6574</v>
      </c>
      <c r="I901" s="34" t="s">
        <v>7</v>
      </c>
      <c r="J901" s="34" t="s">
        <v>1750</v>
      </c>
      <c r="K901" s="40" t="s">
        <v>1751</v>
      </c>
      <c r="L901" s="34" t="s">
        <v>1750</v>
      </c>
      <c r="M901" s="34" t="s">
        <v>6588</v>
      </c>
      <c r="N901" s="34" t="s">
        <v>6597</v>
      </c>
      <c r="Q901" s="36" t="s">
        <v>6599</v>
      </c>
      <c r="R901" s="34" t="str">
        <f>"fi361"</f>
        <v>fi361</v>
      </c>
      <c r="S901" s="34" t="s">
        <v>6600</v>
      </c>
      <c r="T901" s="14" t="str">
        <f t="shared" si="6"/>
        <v>1.1</v>
      </c>
      <c r="V901" s="34">
        <v>359</v>
      </c>
      <c r="W901" s="34">
        <v>85</v>
      </c>
      <c r="Z901" s="34">
        <v>79</v>
      </c>
      <c r="AA901" s="34">
        <v>6.25</v>
      </c>
      <c r="AC901" s="34">
        <v>20</v>
      </c>
      <c r="AI901" s="34">
        <v>0.5</v>
      </c>
      <c r="AK901" s="34">
        <v>0.09</v>
      </c>
      <c r="AL901" s="34">
        <v>0.05</v>
      </c>
      <c r="AM901" s="34">
        <v>0.2</v>
      </c>
      <c r="AV901" s="34">
        <v>1.2</v>
      </c>
      <c r="AY901" s="34">
        <v>22</v>
      </c>
      <c r="BD901" s="34">
        <v>0.03</v>
      </c>
      <c r="BF901" s="34">
        <v>0.15</v>
      </c>
      <c r="BG901" s="36">
        <v>300</v>
      </c>
      <c r="BH901" s="36">
        <v>424</v>
      </c>
      <c r="BI901" s="36"/>
      <c r="BJ901" s="34">
        <v>26</v>
      </c>
      <c r="BM901" s="34">
        <v>75</v>
      </c>
      <c r="BP901" s="34">
        <v>207</v>
      </c>
      <c r="BS901" s="34">
        <v>30</v>
      </c>
      <c r="BW901" s="34">
        <v>0.54</v>
      </c>
      <c r="CI901" s="36" t="s">
        <v>6603</v>
      </c>
      <c r="CJ901" s="36"/>
      <c r="CR901" s="36" t="s">
        <v>6608</v>
      </c>
      <c r="CS901" s="36" t="s">
        <v>6610</v>
      </c>
      <c r="CV901" s="34">
        <v>0.47</v>
      </c>
      <c r="CW901" s="36" t="s">
        <v>6613</v>
      </c>
      <c r="CX901" s="36" t="s">
        <v>6614</v>
      </c>
      <c r="CY901" s="34">
        <v>0.02</v>
      </c>
      <c r="DB901" s="34">
        <v>0.09</v>
      </c>
      <c r="DC901" s="34">
        <v>3.9</v>
      </c>
      <c r="DG901" s="34">
        <v>0.26</v>
      </c>
      <c r="DK901" s="34">
        <v>5</v>
      </c>
      <c r="DM901" s="34">
        <v>0.95</v>
      </c>
      <c r="EW901" s="34">
        <v>82</v>
      </c>
    </row>
    <row r="902" spans="1:153" s="34" customFormat="1" x14ac:dyDescent="0.2">
      <c r="A902" s="11" t="s">
        <v>6643</v>
      </c>
      <c r="B902" s="34" t="s">
        <v>55</v>
      </c>
      <c r="C902" s="12" t="s">
        <v>6712</v>
      </c>
      <c r="D902" s="34" t="s">
        <v>2</v>
      </c>
      <c r="E902" s="12">
        <v>23</v>
      </c>
      <c r="F902" s="12" t="s">
        <v>1274</v>
      </c>
      <c r="G902" s="34" t="s">
        <v>6563</v>
      </c>
      <c r="H902" s="34" t="s">
        <v>6575</v>
      </c>
      <c r="I902" s="34" t="s">
        <v>7</v>
      </c>
      <c r="J902" s="34" t="s">
        <v>1276</v>
      </c>
      <c r="K902" s="40" t="s">
        <v>1277</v>
      </c>
      <c r="L902" s="34" t="s">
        <v>1276</v>
      </c>
      <c r="M902" s="34" t="s">
        <v>6589</v>
      </c>
      <c r="N902" s="34" t="s">
        <v>6598</v>
      </c>
      <c r="Q902" s="36" t="s">
        <v>6599</v>
      </c>
      <c r="R902" s="34" t="str">
        <f>"fi361"</f>
        <v>fi361</v>
      </c>
      <c r="S902" s="34" t="s">
        <v>6600</v>
      </c>
      <c r="T902" s="14" t="str">
        <f t="shared" si="6"/>
        <v>1.1</v>
      </c>
      <c r="V902" s="34">
        <v>932</v>
      </c>
      <c r="W902" s="34">
        <v>224</v>
      </c>
      <c r="Z902" s="34">
        <v>61</v>
      </c>
      <c r="AA902" s="34">
        <v>6.25</v>
      </c>
      <c r="AC902" s="34">
        <v>20</v>
      </c>
      <c r="AI902" s="34">
        <v>16</v>
      </c>
      <c r="AK902" s="34">
        <v>3</v>
      </c>
      <c r="AL902" s="34">
        <v>5.91</v>
      </c>
      <c r="AM902" s="34">
        <v>5</v>
      </c>
      <c r="AV902" s="34">
        <v>1.1000000000000001</v>
      </c>
      <c r="AY902" s="34">
        <v>6.7</v>
      </c>
      <c r="BD902" s="34">
        <v>0.04</v>
      </c>
      <c r="BF902" s="34">
        <v>0.33</v>
      </c>
      <c r="BG902" s="36">
        <v>12</v>
      </c>
      <c r="BH902" s="36">
        <v>451</v>
      </c>
      <c r="BI902" s="36"/>
      <c r="BJ902" s="34">
        <v>26</v>
      </c>
      <c r="BM902" s="34">
        <v>46</v>
      </c>
      <c r="BP902" s="34">
        <v>227</v>
      </c>
      <c r="BS902" s="34">
        <v>30</v>
      </c>
      <c r="BW902" s="34">
        <v>0.48</v>
      </c>
      <c r="CI902" s="34">
        <v>26</v>
      </c>
      <c r="CR902" s="34">
        <v>10</v>
      </c>
      <c r="CS902" s="34">
        <v>0.49</v>
      </c>
      <c r="CV902" s="34">
        <v>1.4</v>
      </c>
      <c r="CW902" s="36" t="s">
        <v>6613</v>
      </c>
      <c r="CX902" s="36" t="s">
        <v>6614</v>
      </c>
      <c r="CY902" s="34">
        <v>0.12</v>
      </c>
      <c r="DB902" s="34">
        <v>0.11</v>
      </c>
      <c r="DC902" s="34">
        <v>7.3</v>
      </c>
      <c r="DG902" s="34">
        <v>0.51</v>
      </c>
      <c r="DK902" s="34">
        <v>4</v>
      </c>
      <c r="DM902" s="34">
        <v>3.5</v>
      </c>
      <c r="EW902" s="34">
        <v>80</v>
      </c>
    </row>
    <row r="903" spans="1:153" s="34" customFormat="1" ht="15" x14ac:dyDescent="0.25">
      <c r="A903" s="11" t="s">
        <v>6644</v>
      </c>
      <c r="B903" s="34" t="s">
        <v>55</v>
      </c>
      <c r="C903" s="12" t="s">
        <v>6552</v>
      </c>
      <c r="D903" s="34" t="s">
        <v>2</v>
      </c>
      <c r="E903" s="12">
        <v>23</v>
      </c>
      <c r="F903" s="12" t="s">
        <v>1472</v>
      </c>
      <c r="G903" s="34" t="s">
        <v>6713</v>
      </c>
      <c r="H903" s="34" t="s">
        <v>6576</v>
      </c>
      <c r="I903" s="34" t="s">
        <v>7</v>
      </c>
      <c r="J903" s="34" t="s">
        <v>1474</v>
      </c>
      <c r="K903" s="40" t="s">
        <v>1475</v>
      </c>
      <c r="L903" s="34" t="s">
        <v>1474</v>
      </c>
      <c r="M903" s="34" t="s">
        <v>6590</v>
      </c>
      <c r="N903" s="34" t="s">
        <v>6597</v>
      </c>
      <c r="Q903" s="36" t="s">
        <v>6599</v>
      </c>
      <c r="R903" s="34" t="str">
        <f>"fi361"</f>
        <v>fi361</v>
      </c>
      <c r="S903" s="34" t="s">
        <v>6600</v>
      </c>
      <c r="T903" s="14" t="str">
        <f t="shared" si="6"/>
        <v>1.1</v>
      </c>
      <c r="V903" s="34">
        <v>693</v>
      </c>
      <c r="W903" s="34">
        <v>166</v>
      </c>
      <c r="Z903" s="34">
        <v>70</v>
      </c>
      <c r="AA903" s="34">
        <v>6.25</v>
      </c>
      <c r="AC903" s="34">
        <v>19</v>
      </c>
      <c r="AI903" s="34">
        <v>10</v>
      </c>
      <c r="AK903" s="34">
        <v>2.0299999999999998</v>
      </c>
      <c r="AL903" s="34">
        <v>3.52</v>
      </c>
      <c r="AM903" s="34">
        <v>3.16</v>
      </c>
      <c r="AV903" s="34">
        <v>1.2</v>
      </c>
      <c r="AY903" s="34">
        <v>10</v>
      </c>
      <c r="BD903" s="34">
        <v>0.05</v>
      </c>
      <c r="BF903" s="34">
        <v>0.28999999999999998</v>
      </c>
      <c r="BG903" s="36" t="s">
        <v>5936</v>
      </c>
      <c r="BH903" s="36">
        <v>420</v>
      </c>
      <c r="BI903" s="36"/>
      <c r="BJ903" s="34">
        <v>27</v>
      </c>
      <c r="BM903" s="34">
        <v>48</v>
      </c>
      <c r="BP903" s="34">
        <v>216</v>
      </c>
      <c r="BS903" s="34">
        <v>30</v>
      </c>
      <c r="BW903" s="34">
        <v>0.49</v>
      </c>
      <c r="CI903" s="34">
        <v>32</v>
      </c>
      <c r="CR903" s="34">
        <v>6.9</v>
      </c>
      <c r="CS903" s="34">
        <v>0.22</v>
      </c>
      <c r="CV903" s="34">
        <v>1.1000000000000001</v>
      </c>
      <c r="CW903" s="36" t="s">
        <v>6613</v>
      </c>
      <c r="CX903" s="36" t="s">
        <v>6614</v>
      </c>
      <c r="CY903" s="34">
        <v>0.21</v>
      </c>
      <c r="DB903" s="34">
        <v>0.13</v>
      </c>
      <c r="DC903" s="34">
        <v>6.9</v>
      </c>
      <c r="DG903" s="34">
        <v>0.49</v>
      </c>
      <c r="DK903" s="34">
        <v>5</v>
      </c>
      <c r="DM903" s="34">
        <v>4.8</v>
      </c>
      <c r="EW903" s="34">
        <v>73</v>
      </c>
    </row>
  </sheetData>
  <autoFilter ref="A1:IM903"/>
  <pageMargins left="0.7" right="0.7" top="0.75" bottom="0.75" header="0.3" footer="0.3"/>
  <pageSetup paperSize="9" orientation="portrait" r:id="rId1"/>
  <ignoredErrors>
    <ignoredError sqref="A4:A881"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O903"/>
  <sheetViews>
    <sheetView zoomScaleNormal="100" workbookViewId="0">
      <pane xSplit="20" ySplit="2" topLeftCell="U4" activePane="bottomRight" state="frozen"/>
      <selection pane="topRight" activeCell="U1" sqref="U1"/>
      <selection pane="bottomLeft" activeCell="A3" sqref="A3"/>
      <selection pane="bottomRight"/>
    </sheetView>
  </sheetViews>
  <sheetFormatPr defaultColWidth="11.42578125" defaultRowHeight="12.75" x14ac:dyDescent="0.2"/>
  <cols>
    <col min="1" max="1" width="11.42578125" style="1" customWidth="1"/>
    <col min="2" max="2" width="7.7109375" style="1" customWidth="1"/>
    <col min="3" max="3" width="11.42578125" style="1" customWidth="1"/>
    <col min="4" max="4" width="3.85546875" style="1" customWidth="1"/>
    <col min="5" max="6" width="5.7109375" style="1" customWidth="1"/>
    <col min="7" max="7" width="5.140625" style="1" customWidth="1"/>
    <col min="8" max="8" width="19.42578125" style="1" customWidth="1"/>
    <col min="9" max="9" width="4.28515625" style="1" customWidth="1"/>
    <col min="10" max="10" width="5.7109375" style="1" customWidth="1"/>
    <col min="11" max="11" width="11.42578125" style="1"/>
    <col min="12" max="12" width="6.42578125" style="1" customWidth="1"/>
    <col min="13" max="13" width="7.28515625" style="1" customWidth="1"/>
    <col min="14" max="14" width="11.42578125" style="1"/>
    <col min="15" max="15" width="5" style="1" customWidth="1"/>
    <col min="16" max="16" width="11.42578125" style="1"/>
    <col min="17" max="17" width="6.5703125" style="1" customWidth="1"/>
    <col min="18" max="18" width="5" style="1" customWidth="1"/>
    <col min="19" max="19" width="4.42578125" style="1" customWidth="1"/>
    <col min="20" max="20" width="4.28515625" style="1" customWidth="1"/>
    <col min="21" max="16384" width="11.42578125" style="1"/>
  </cols>
  <sheetData>
    <row r="1" spans="1:249" s="4" customFormat="1" ht="58.5" customHeight="1" x14ac:dyDescent="0.2">
      <c r="A1" s="4" t="s">
        <v>64</v>
      </c>
      <c r="B1" s="4" t="s">
        <v>1060</v>
      </c>
      <c r="C1" s="4" t="s">
        <v>65</v>
      </c>
      <c r="D1" s="4" t="s">
        <v>1</v>
      </c>
      <c r="E1" s="4" t="s">
        <v>1061</v>
      </c>
      <c r="F1" s="4" t="s">
        <v>1062</v>
      </c>
      <c r="G1" s="4" t="s">
        <v>1063</v>
      </c>
      <c r="H1" s="4" t="s">
        <v>1064</v>
      </c>
      <c r="I1" s="4" t="s">
        <v>6</v>
      </c>
      <c r="J1" s="4" t="s">
        <v>239</v>
      </c>
      <c r="K1" s="4" t="s">
        <v>1065</v>
      </c>
      <c r="L1" s="4" t="s">
        <v>1066</v>
      </c>
      <c r="M1" s="4" t="s">
        <v>68</v>
      </c>
      <c r="N1" s="4" t="s">
        <v>69</v>
      </c>
      <c r="O1" s="4" t="s">
        <v>13</v>
      </c>
      <c r="P1" s="4" t="s">
        <v>70</v>
      </c>
      <c r="Q1" s="4" t="s">
        <v>71</v>
      </c>
      <c r="R1" s="4" t="s">
        <v>240</v>
      </c>
      <c r="S1" s="4" t="s">
        <v>1067</v>
      </c>
      <c r="T1" s="4" t="s">
        <v>1068</v>
      </c>
      <c r="U1" s="4" t="s">
        <v>73</v>
      </c>
      <c r="V1" s="4" t="s">
        <v>1073</v>
      </c>
      <c r="W1" s="4" t="s">
        <v>76</v>
      </c>
      <c r="X1" s="4" t="s">
        <v>77</v>
      </c>
      <c r="Y1" s="4" t="s">
        <v>1074</v>
      </c>
      <c r="Z1" s="4" t="s">
        <v>1075</v>
      </c>
      <c r="AA1" s="4" t="s">
        <v>1076</v>
      </c>
      <c r="AB1" s="4" t="s">
        <v>78</v>
      </c>
      <c r="AC1" s="4" t="s">
        <v>1077</v>
      </c>
      <c r="AD1" s="4" t="s">
        <v>5155</v>
      </c>
      <c r="AE1" s="4" t="s">
        <v>5156</v>
      </c>
      <c r="AF1" s="4" t="s">
        <v>5157</v>
      </c>
      <c r="AG1" s="4" t="s">
        <v>5158</v>
      </c>
      <c r="AH1" s="4" t="s">
        <v>5159</v>
      </c>
      <c r="AI1" s="29" t="s">
        <v>7453</v>
      </c>
      <c r="AJ1" s="29" t="s">
        <v>7454</v>
      </c>
      <c r="AK1" s="29" t="s">
        <v>7455</v>
      </c>
      <c r="AL1" s="29" t="s">
        <v>7456</v>
      </c>
      <c r="AM1" s="4" t="s">
        <v>5160</v>
      </c>
      <c r="AN1" s="4" t="s">
        <v>5161</v>
      </c>
      <c r="AO1" s="4" t="s">
        <v>5162</v>
      </c>
      <c r="AP1" s="4" t="s">
        <v>5163</v>
      </c>
      <c r="AQ1" s="4" t="s">
        <v>5164</v>
      </c>
      <c r="AR1" s="4" t="s">
        <v>5165</v>
      </c>
      <c r="AS1" s="4" t="s">
        <v>5166</v>
      </c>
      <c r="AT1" s="4" t="s">
        <v>5167</v>
      </c>
      <c r="AU1" s="4" t="s">
        <v>112</v>
      </c>
      <c r="AV1" s="4" t="s">
        <v>113</v>
      </c>
      <c r="AW1" s="4" t="s">
        <v>114</v>
      </c>
      <c r="AX1" s="4" t="s">
        <v>5168</v>
      </c>
      <c r="AY1" s="4" t="s">
        <v>115</v>
      </c>
      <c r="AZ1" s="4" t="s">
        <v>5169</v>
      </c>
      <c r="BA1" s="4" t="s">
        <v>116</v>
      </c>
      <c r="BB1" s="4" t="s">
        <v>5170</v>
      </c>
      <c r="BC1" s="4" t="s">
        <v>5171</v>
      </c>
      <c r="BD1" s="4" t="s">
        <v>117</v>
      </c>
      <c r="BE1" s="4" t="s">
        <v>5172</v>
      </c>
      <c r="BF1" s="4" t="s">
        <v>5173</v>
      </c>
      <c r="BG1" s="4" t="s">
        <v>118</v>
      </c>
      <c r="BH1" s="4" t="s">
        <v>5174</v>
      </c>
      <c r="BI1" s="4" t="s">
        <v>119</v>
      </c>
      <c r="BJ1" s="4" t="s">
        <v>120</v>
      </c>
      <c r="BK1" s="4" t="s">
        <v>121</v>
      </c>
      <c r="BL1" s="4" t="s">
        <v>5175</v>
      </c>
      <c r="BM1" s="4" t="s">
        <v>122</v>
      </c>
      <c r="BN1" s="4" t="s">
        <v>5176</v>
      </c>
      <c r="BO1" s="4" t="s">
        <v>5177</v>
      </c>
      <c r="BP1" s="4" t="s">
        <v>5178</v>
      </c>
      <c r="BQ1" s="4" t="s">
        <v>5179</v>
      </c>
      <c r="BR1" s="4" t="s">
        <v>5180</v>
      </c>
      <c r="BS1" s="4" t="s">
        <v>5181</v>
      </c>
      <c r="BT1" s="4" t="s">
        <v>5182</v>
      </c>
      <c r="BU1" s="4" t="s">
        <v>5183</v>
      </c>
      <c r="BV1" s="4" t="s">
        <v>5184</v>
      </c>
      <c r="BW1" s="4" t="s">
        <v>5185</v>
      </c>
      <c r="BX1" s="4" t="s">
        <v>5186</v>
      </c>
      <c r="BY1" s="4" t="s">
        <v>5187</v>
      </c>
      <c r="BZ1" s="4" t="s">
        <v>5188</v>
      </c>
      <c r="CA1" s="4" t="s">
        <v>123</v>
      </c>
      <c r="CB1" s="4" t="s">
        <v>5189</v>
      </c>
      <c r="CC1" s="4" t="s">
        <v>5190</v>
      </c>
      <c r="CD1" s="4" t="s">
        <v>5191</v>
      </c>
      <c r="CE1" s="4" t="s">
        <v>5192</v>
      </c>
      <c r="CF1" s="4" t="s">
        <v>5193</v>
      </c>
      <c r="CG1" s="4" t="s">
        <v>5194</v>
      </c>
      <c r="CH1" s="4" t="s">
        <v>5195</v>
      </c>
      <c r="CI1" s="4" t="s">
        <v>5196</v>
      </c>
      <c r="CJ1" s="4" t="s">
        <v>5197</v>
      </c>
      <c r="CK1" s="4" t="s">
        <v>5198</v>
      </c>
      <c r="CL1" s="4" t="s">
        <v>5199</v>
      </c>
      <c r="CM1" s="4" t="s">
        <v>5200</v>
      </c>
      <c r="CN1" s="29" t="s">
        <v>6621</v>
      </c>
      <c r="CO1" s="4" t="s">
        <v>5201</v>
      </c>
      <c r="CP1" s="4" t="s">
        <v>5202</v>
      </c>
      <c r="CQ1" s="4" t="s">
        <v>124</v>
      </c>
      <c r="CR1" s="4" t="s">
        <v>5203</v>
      </c>
      <c r="CS1" s="4" t="s">
        <v>5204</v>
      </c>
      <c r="CT1" s="4" t="s">
        <v>5205</v>
      </c>
      <c r="CU1" s="4" t="s">
        <v>5206</v>
      </c>
      <c r="CV1" s="4" t="s">
        <v>5207</v>
      </c>
      <c r="CW1" s="4" t="s">
        <v>5208</v>
      </c>
      <c r="CX1" s="4" t="s">
        <v>5209</v>
      </c>
      <c r="CY1" s="4" t="s">
        <v>5210</v>
      </c>
      <c r="CZ1" s="4" t="s">
        <v>125</v>
      </c>
      <c r="DA1" s="4" t="s">
        <v>5211</v>
      </c>
      <c r="DB1" s="4" t="s">
        <v>5212</v>
      </c>
      <c r="DC1" s="4" t="s">
        <v>5213</v>
      </c>
      <c r="DD1" s="4" t="s">
        <v>126</v>
      </c>
      <c r="DE1" s="4" t="s">
        <v>5214</v>
      </c>
      <c r="DF1" s="4" t="s">
        <v>127</v>
      </c>
      <c r="DG1" s="4" t="s">
        <v>5215</v>
      </c>
      <c r="DH1" s="4" t="s">
        <v>5216</v>
      </c>
      <c r="DI1" s="4" t="s">
        <v>5217</v>
      </c>
      <c r="DJ1" s="4" t="s">
        <v>128</v>
      </c>
      <c r="DK1" s="4" t="s">
        <v>5218</v>
      </c>
      <c r="DL1" s="4" t="s">
        <v>5219</v>
      </c>
      <c r="DM1" s="4" t="s">
        <v>5220</v>
      </c>
      <c r="DN1" s="4" t="s">
        <v>5221</v>
      </c>
      <c r="DO1" s="4" t="s">
        <v>5222</v>
      </c>
      <c r="DP1" s="4" t="s">
        <v>5223</v>
      </c>
      <c r="DQ1" s="4" t="s">
        <v>5224</v>
      </c>
      <c r="DR1" s="4" t="s">
        <v>129</v>
      </c>
      <c r="DS1" s="4" t="s">
        <v>5225</v>
      </c>
      <c r="DT1" s="4" t="s">
        <v>5226</v>
      </c>
      <c r="DU1" s="4" t="s">
        <v>5227</v>
      </c>
      <c r="DV1" s="4" t="s">
        <v>130</v>
      </c>
      <c r="DW1" s="4" t="s">
        <v>5228</v>
      </c>
      <c r="DX1" s="4" t="s">
        <v>5229</v>
      </c>
      <c r="DY1" s="4" t="s">
        <v>131</v>
      </c>
      <c r="DZ1" s="4" t="s">
        <v>5230</v>
      </c>
      <c r="EA1" s="4" t="s">
        <v>5231</v>
      </c>
      <c r="EB1" s="4" t="s">
        <v>5232</v>
      </c>
      <c r="EC1" s="4" t="s">
        <v>5233</v>
      </c>
      <c r="ED1" s="4" t="s">
        <v>5234</v>
      </c>
      <c r="EE1" s="4" t="s">
        <v>5235</v>
      </c>
      <c r="EF1" s="4" t="s">
        <v>5236</v>
      </c>
      <c r="EG1" s="4" t="s">
        <v>5237</v>
      </c>
      <c r="EH1" s="4" t="s">
        <v>5238</v>
      </c>
      <c r="EI1" s="4" t="s">
        <v>132</v>
      </c>
      <c r="EJ1" s="4" t="s">
        <v>5239</v>
      </c>
      <c r="EK1" s="4" t="s">
        <v>5240</v>
      </c>
      <c r="EL1" s="4" t="s">
        <v>5241</v>
      </c>
      <c r="EM1" s="4" t="s">
        <v>5242</v>
      </c>
      <c r="EN1" s="4" t="s">
        <v>5243</v>
      </c>
      <c r="EO1" s="4" t="s">
        <v>5244</v>
      </c>
      <c r="EP1" s="4" t="s">
        <v>5245</v>
      </c>
      <c r="EQ1" s="4" t="s">
        <v>5246</v>
      </c>
      <c r="ER1" s="4" t="s">
        <v>5247</v>
      </c>
      <c r="ES1" s="4" t="s">
        <v>5248</v>
      </c>
      <c r="ET1" s="4" t="s">
        <v>5249</v>
      </c>
      <c r="EU1" s="4" t="s">
        <v>5250</v>
      </c>
      <c r="EV1" s="4" t="s">
        <v>5251</v>
      </c>
      <c r="EW1" s="4" t="s">
        <v>5252</v>
      </c>
      <c r="EX1" s="4" t="s">
        <v>5253</v>
      </c>
      <c r="EY1" s="4" t="s">
        <v>5254</v>
      </c>
      <c r="EZ1" s="4" t="s">
        <v>5255</v>
      </c>
      <c r="FA1" s="4" t="s">
        <v>5256</v>
      </c>
      <c r="FB1" s="4" t="s">
        <v>5257</v>
      </c>
      <c r="FC1" s="4" t="s">
        <v>5258</v>
      </c>
      <c r="FD1" s="4" t="s">
        <v>5259</v>
      </c>
      <c r="FE1" s="4" t="s">
        <v>5260</v>
      </c>
      <c r="FF1" s="4" t="s">
        <v>5261</v>
      </c>
      <c r="FG1" s="4" t="s">
        <v>5262</v>
      </c>
      <c r="FH1" s="4" t="s">
        <v>5263</v>
      </c>
      <c r="FI1" s="4" t="s">
        <v>5264</v>
      </c>
      <c r="FJ1" s="4" t="s">
        <v>5265</v>
      </c>
      <c r="FK1" s="4" t="s">
        <v>5266</v>
      </c>
      <c r="FL1" s="4" t="s">
        <v>5267</v>
      </c>
      <c r="FM1" s="4" t="s">
        <v>5268</v>
      </c>
      <c r="FN1" s="4" t="s">
        <v>5269</v>
      </c>
      <c r="FO1" s="4" t="s">
        <v>7457</v>
      </c>
      <c r="FP1" s="4" t="s">
        <v>5270</v>
      </c>
      <c r="FQ1" s="4" t="s">
        <v>5271</v>
      </c>
      <c r="FR1" s="4" t="s">
        <v>5272</v>
      </c>
      <c r="FS1" s="4" t="s">
        <v>5273</v>
      </c>
      <c r="FT1" s="38" t="s">
        <v>7451</v>
      </c>
      <c r="FU1" s="38" t="s">
        <v>7452</v>
      </c>
    </row>
    <row r="2" spans="1:249" s="5" customFormat="1" ht="58.5" customHeight="1" x14ac:dyDescent="0.2">
      <c r="C2" s="5" t="s">
        <v>152</v>
      </c>
      <c r="D2" s="5" t="s">
        <v>1135</v>
      </c>
      <c r="I2" s="5" t="s">
        <v>153</v>
      </c>
      <c r="M2" s="5" t="s">
        <v>154</v>
      </c>
      <c r="N2" s="5" t="s">
        <v>155</v>
      </c>
      <c r="O2" s="5" t="s">
        <v>14</v>
      </c>
      <c r="U2" s="5" t="s">
        <v>156</v>
      </c>
      <c r="V2" s="5" t="s">
        <v>1142</v>
      </c>
      <c r="W2" s="5" t="s">
        <v>160</v>
      </c>
      <c r="X2" s="5" t="s">
        <v>161</v>
      </c>
      <c r="Y2" s="5" t="s">
        <v>1143</v>
      </c>
      <c r="Z2" s="5" t="s">
        <v>1144</v>
      </c>
      <c r="AA2" s="5" t="s">
        <v>1145</v>
      </c>
      <c r="AB2" s="5" t="s">
        <v>1146</v>
      </c>
      <c r="AC2" s="5" t="s">
        <v>1147</v>
      </c>
      <c r="AD2" s="5" t="s">
        <v>5274</v>
      </c>
      <c r="AE2" s="5" t="s">
        <v>5275</v>
      </c>
      <c r="AF2" s="5" t="s">
        <v>5276</v>
      </c>
      <c r="AG2" s="5" t="s">
        <v>5277</v>
      </c>
      <c r="AH2" s="5" t="s">
        <v>5278</v>
      </c>
      <c r="AI2" s="30" t="s">
        <v>6617</v>
      </c>
      <c r="AJ2" s="30" t="s">
        <v>6618</v>
      </c>
      <c r="AK2" s="30" t="s">
        <v>6619</v>
      </c>
      <c r="AL2" s="30" t="s">
        <v>6620</v>
      </c>
      <c r="AM2" s="5" t="s">
        <v>5279</v>
      </c>
      <c r="AN2" s="5" t="s">
        <v>5280</v>
      </c>
      <c r="AO2" s="5" t="s">
        <v>5281</v>
      </c>
      <c r="AP2" s="5" t="s">
        <v>5282</v>
      </c>
      <c r="AQ2" s="5" t="s">
        <v>5283</v>
      </c>
      <c r="AR2" s="5" t="s">
        <v>5284</v>
      </c>
      <c r="AS2" s="5" t="s">
        <v>5285</v>
      </c>
      <c r="AT2" s="5" t="s">
        <v>5286</v>
      </c>
      <c r="AU2" s="5" t="s">
        <v>196</v>
      </c>
      <c r="AV2" s="5" t="s">
        <v>197</v>
      </c>
      <c r="AW2" s="5" t="s">
        <v>198</v>
      </c>
      <c r="AX2" s="5" t="s">
        <v>5287</v>
      </c>
      <c r="AY2" s="5" t="s">
        <v>199</v>
      </c>
      <c r="AZ2" s="5" t="s">
        <v>5288</v>
      </c>
      <c r="BA2" s="5" t="s">
        <v>200</v>
      </c>
      <c r="BB2" s="5" t="s">
        <v>5289</v>
      </c>
      <c r="BC2" s="5" t="s">
        <v>5290</v>
      </c>
      <c r="BD2" s="5" t="s">
        <v>201</v>
      </c>
      <c r="BE2" s="5" t="s">
        <v>5291</v>
      </c>
      <c r="BF2" s="5" t="s">
        <v>5292</v>
      </c>
      <c r="BG2" s="5" t="s">
        <v>202</v>
      </c>
      <c r="BH2" s="5" t="s">
        <v>5293</v>
      </c>
      <c r="BI2" s="5" t="s">
        <v>203</v>
      </c>
      <c r="BJ2" s="5" t="s">
        <v>204</v>
      </c>
      <c r="BK2" s="5" t="s">
        <v>205</v>
      </c>
      <c r="BL2" s="5" t="s">
        <v>5294</v>
      </c>
      <c r="BM2" s="5" t="s">
        <v>206</v>
      </c>
      <c r="BN2" s="5" t="s">
        <v>5295</v>
      </c>
      <c r="BO2" s="5" t="s">
        <v>5296</v>
      </c>
      <c r="BP2" s="5" t="s">
        <v>5297</v>
      </c>
      <c r="BQ2" s="5" t="s">
        <v>5298</v>
      </c>
      <c r="BR2" s="5" t="s">
        <v>5299</v>
      </c>
      <c r="BS2" s="5" t="s">
        <v>5300</v>
      </c>
      <c r="BT2" s="5" t="s">
        <v>5301</v>
      </c>
      <c r="BU2" s="5" t="s">
        <v>5302</v>
      </c>
      <c r="BV2" s="5" t="s">
        <v>5303</v>
      </c>
      <c r="BW2" s="5" t="s">
        <v>5304</v>
      </c>
      <c r="BX2" s="5" t="s">
        <v>5305</v>
      </c>
      <c r="BY2" s="5" t="s">
        <v>5306</v>
      </c>
      <c r="BZ2" s="5" t="s">
        <v>5307</v>
      </c>
      <c r="CA2" s="5" t="s">
        <v>207</v>
      </c>
      <c r="CB2" s="5" t="s">
        <v>5308</v>
      </c>
      <c r="CC2" s="5" t="s">
        <v>5309</v>
      </c>
      <c r="CD2" s="5" t="s">
        <v>5310</v>
      </c>
      <c r="CE2" s="5" t="s">
        <v>5311</v>
      </c>
      <c r="CF2" s="5" t="s">
        <v>5312</v>
      </c>
      <c r="CG2" s="5" t="s">
        <v>5313</v>
      </c>
      <c r="CH2" s="5" t="s">
        <v>5314</v>
      </c>
      <c r="CI2" s="5" t="s">
        <v>5315</v>
      </c>
      <c r="CJ2" s="5" t="s">
        <v>5316</v>
      </c>
      <c r="CK2" s="5" t="s">
        <v>5317</v>
      </c>
      <c r="CL2" s="5" t="s">
        <v>5318</v>
      </c>
      <c r="CM2" s="5" t="s">
        <v>5319</v>
      </c>
      <c r="CN2" s="30" t="s">
        <v>6622</v>
      </c>
      <c r="CO2" s="5" t="s">
        <v>5320</v>
      </c>
      <c r="CP2" s="5" t="s">
        <v>5321</v>
      </c>
      <c r="CQ2" s="5" t="s">
        <v>208</v>
      </c>
      <c r="CR2" s="5" t="s">
        <v>5322</v>
      </c>
      <c r="CS2" s="5" t="s">
        <v>5323</v>
      </c>
      <c r="CT2" s="5" t="s">
        <v>5324</v>
      </c>
      <c r="CU2" s="5" t="s">
        <v>5325</v>
      </c>
      <c r="CV2" s="5" t="s">
        <v>5326</v>
      </c>
      <c r="CW2" s="5" t="s">
        <v>5327</v>
      </c>
      <c r="CX2" s="5" t="s">
        <v>5328</v>
      </c>
      <c r="CY2" s="5" t="s">
        <v>5329</v>
      </c>
      <c r="CZ2" s="5" t="s">
        <v>209</v>
      </c>
      <c r="DA2" s="5" t="s">
        <v>5330</v>
      </c>
      <c r="DB2" s="5" t="s">
        <v>5331</v>
      </c>
      <c r="DC2" s="5" t="s">
        <v>5332</v>
      </c>
      <c r="DD2" s="5" t="s">
        <v>210</v>
      </c>
      <c r="DE2" s="5" t="s">
        <v>5333</v>
      </c>
      <c r="DF2" s="5" t="s">
        <v>211</v>
      </c>
      <c r="DG2" s="5" t="s">
        <v>5334</v>
      </c>
      <c r="DH2" s="5" t="s">
        <v>5335</v>
      </c>
      <c r="DI2" s="5" t="s">
        <v>5336</v>
      </c>
      <c r="DJ2" s="5" t="s">
        <v>212</v>
      </c>
      <c r="DK2" s="5" t="s">
        <v>5337</v>
      </c>
      <c r="DL2" s="5" t="s">
        <v>5338</v>
      </c>
      <c r="DM2" s="5" t="s">
        <v>5339</v>
      </c>
      <c r="DN2" s="5" t="s">
        <v>5340</v>
      </c>
      <c r="DO2" s="5" t="s">
        <v>5341</v>
      </c>
      <c r="DP2" s="5" t="s">
        <v>5342</v>
      </c>
      <c r="DQ2" s="5" t="s">
        <v>5343</v>
      </c>
      <c r="DR2" s="5" t="s">
        <v>213</v>
      </c>
      <c r="DS2" s="5" t="s">
        <v>5344</v>
      </c>
      <c r="DT2" s="5" t="s">
        <v>5345</v>
      </c>
      <c r="DU2" s="5" t="s">
        <v>5346</v>
      </c>
      <c r="DV2" s="5" t="s">
        <v>214</v>
      </c>
      <c r="DW2" s="5" t="s">
        <v>5347</v>
      </c>
      <c r="DX2" s="5" t="s">
        <v>5348</v>
      </c>
      <c r="DY2" s="5" t="s">
        <v>215</v>
      </c>
      <c r="DZ2" s="5" t="s">
        <v>5349</v>
      </c>
      <c r="EA2" s="5" t="s">
        <v>5350</v>
      </c>
      <c r="EB2" s="5" t="s">
        <v>5351</v>
      </c>
      <c r="EC2" s="5" t="s">
        <v>5352</v>
      </c>
      <c r="ED2" s="5" t="s">
        <v>5353</v>
      </c>
      <c r="EE2" s="5" t="s">
        <v>5354</v>
      </c>
      <c r="EF2" s="5" t="s">
        <v>5355</v>
      </c>
      <c r="EG2" s="5" t="s">
        <v>5356</v>
      </c>
      <c r="EH2" s="5" t="s">
        <v>5357</v>
      </c>
      <c r="EI2" s="5" t="s">
        <v>216</v>
      </c>
      <c r="EJ2" s="5" t="s">
        <v>5358</v>
      </c>
      <c r="EK2" s="5" t="s">
        <v>5359</v>
      </c>
      <c r="EL2" s="5" t="s">
        <v>5360</v>
      </c>
      <c r="EM2" s="5" t="s">
        <v>5361</v>
      </c>
      <c r="EN2" s="5" t="s">
        <v>5362</v>
      </c>
      <c r="EO2" s="5" t="s">
        <v>5363</v>
      </c>
      <c r="EP2" s="5" t="s">
        <v>5364</v>
      </c>
      <c r="EQ2" s="5" t="s">
        <v>5365</v>
      </c>
      <c r="ER2" s="5" t="s">
        <v>5366</v>
      </c>
      <c r="ES2" s="5" t="s">
        <v>5367</v>
      </c>
      <c r="ET2" s="5" t="s">
        <v>5368</v>
      </c>
      <c r="EU2" s="5" t="s">
        <v>5369</v>
      </c>
      <c r="EV2" s="5" t="s">
        <v>5370</v>
      </c>
      <c r="EW2" s="5" t="s">
        <v>5371</v>
      </c>
      <c r="EX2" s="5" t="s">
        <v>5372</v>
      </c>
      <c r="EY2" s="5" t="s">
        <v>5373</v>
      </c>
      <c r="EZ2" s="5" t="s">
        <v>5374</v>
      </c>
      <c r="FA2" s="5" t="s">
        <v>5375</v>
      </c>
      <c r="FB2" s="5" t="s">
        <v>5376</v>
      </c>
      <c r="FC2" s="5" t="s">
        <v>5377</v>
      </c>
      <c r="FD2" s="5" t="s">
        <v>5378</v>
      </c>
      <c r="FE2" s="5" t="s">
        <v>5379</v>
      </c>
      <c r="FF2" s="5" t="s">
        <v>5380</v>
      </c>
      <c r="FG2" s="5" t="s">
        <v>5381</v>
      </c>
      <c r="FH2" s="5" t="s">
        <v>5382</v>
      </c>
      <c r="FI2" s="5" t="s">
        <v>5383</v>
      </c>
      <c r="FJ2" s="5" t="s">
        <v>5384</v>
      </c>
      <c r="FK2" s="5" t="s">
        <v>5385</v>
      </c>
      <c r="FL2" s="5" t="s">
        <v>5386</v>
      </c>
      <c r="FM2" s="5" t="s">
        <v>5387</v>
      </c>
      <c r="FN2" s="5" t="s">
        <v>5388</v>
      </c>
      <c r="FO2" s="5" t="s">
        <v>5389</v>
      </c>
      <c r="FP2" s="5" t="s">
        <v>5390</v>
      </c>
      <c r="FQ2" s="5" t="s">
        <v>5391</v>
      </c>
      <c r="FR2" s="5" t="s">
        <v>5392</v>
      </c>
      <c r="FS2" s="5" t="s">
        <v>5393</v>
      </c>
    </row>
    <row r="3" spans="1:249" s="61" customFormat="1" ht="58.5" hidden="1" customHeight="1" x14ac:dyDescent="0.2">
      <c r="U3" s="61" t="str">
        <f t="shared" ref="U3:CF3" si="0">IF(COUNTA(U4:U65536)=0,"","09")</f>
        <v>09</v>
      </c>
      <c r="V3" s="61" t="str">
        <f t="shared" si="0"/>
        <v>09</v>
      </c>
      <c r="W3" s="61" t="str">
        <f t="shared" si="0"/>
        <v>09</v>
      </c>
      <c r="X3" s="61" t="str">
        <f t="shared" si="0"/>
        <v>09</v>
      </c>
      <c r="Y3" s="61" t="str">
        <f t="shared" si="0"/>
        <v>09</v>
      </c>
      <c r="Z3" s="61" t="str">
        <f t="shared" si="0"/>
        <v>09</v>
      </c>
      <c r="AA3" s="61" t="str">
        <f t="shared" si="0"/>
        <v>09</v>
      </c>
      <c r="AB3" s="61" t="str">
        <f t="shared" si="0"/>
        <v>09</v>
      </c>
      <c r="AC3" s="61" t="str">
        <f t="shared" si="0"/>
        <v>09</v>
      </c>
      <c r="AD3" s="61" t="str">
        <f t="shared" si="0"/>
        <v>09</v>
      </c>
      <c r="AE3" s="61" t="str">
        <f t="shared" si="0"/>
        <v>09</v>
      </c>
      <c r="AF3" s="61" t="str">
        <f t="shared" si="0"/>
        <v>09</v>
      </c>
      <c r="AG3" s="61" t="str">
        <f t="shared" si="0"/>
        <v>09</v>
      </c>
      <c r="AH3" s="61" t="str">
        <f t="shared" si="0"/>
        <v>09</v>
      </c>
      <c r="AI3" s="61" t="str">
        <f t="shared" si="0"/>
        <v>09</v>
      </c>
      <c r="AJ3" s="61" t="str">
        <f t="shared" si="0"/>
        <v>09</v>
      </c>
      <c r="AK3" s="61" t="str">
        <f t="shared" si="0"/>
        <v>09</v>
      </c>
      <c r="AL3" s="61" t="str">
        <f t="shared" si="0"/>
        <v>09</v>
      </c>
      <c r="AM3" s="61" t="str">
        <f t="shared" si="0"/>
        <v>09</v>
      </c>
      <c r="AN3" s="61" t="str">
        <f t="shared" si="0"/>
        <v>09</v>
      </c>
      <c r="AO3" s="61" t="str">
        <f t="shared" si="0"/>
        <v>09</v>
      </c>
      <c r="AP3" s="61" t="str">
        <f t="shared" si="0"/>
        <v>09</v>
      </c>
      <c r="AQ3" s="61" t="str">
        <f t="shared" si="0"/>
        <v>09</v>
      </c>
      <c r="AR3" s="61" t="str">
        <f t="shared" si="0"/>
        <v>09</v>
      </c>
      <c r="AS3" s="61" t="str">
        <f t="shared" si="0"/>
        <v>09</v>
      </c>
      <c r="AT3" s="61" t="str">
        <f t="shared" si="0"/>
        <v>09</v>
      </c>
      <c r="AU3" s="61" t="str">
        <f t="shared" si="0"/>
        <v>09</v>
      </c>
      <c r="AV3" s="61" t="str">
        <f t="shared" si="0"/>
        <v>09</v>
      </c>
      <c r="AW3" s="61" t="str">
        <f t="shared" si="0"/>
        <v>09</v>
      </c>
      <c r="AX3" s="61" t="str">
        <f t="shared" si="0"/>
        <v>09</v>
      </c>
      <c r="AY3" s="61" t="str">
        <f t="shared" si="0"/>
        <v>09</v>
      </c>
      <c r="AZ3" s="61" t="str">
        <f t="shared" si="0"/>
        <v>09</v>
      </c>
      <c r="BA3" s="61" t="str">
        <f t="shared" si="0"/>
        <v>09</v>
      </c>
      <c r="BB3" s="61" t="str">
        <f t="shared" si="0"/>
        <v>09</v>
      </c>
      <c r="BC3" s="61" t="str">
        <f t="shared" si="0"/>
        <v>09</v>
      </c>
      <c r="BD3" s="61" t="str">
        <f t="shared" si="0"/>
        <v>09</v>
      </c>
      <c r="BE3" s="61" t="str">
        <f t="shared" si="0"/>
        <v>09</v>
      </c>
      <c r="BF3" s="61" t="str">
        <f t="shared" si="0"/>
        <v>09</v>
      </c>
      <c r="BG3" s="61" t="str">
        <f t="shared" si="0"/>
        <v>09</v>
      </c>
      <c r="BH3" s="61" t="str">
        <f t="shared" si="0"/>
        <v>09</v>
      </c>
      <c r="BI3" s="61" t="str">
        <f t="shared" si="0"/>
        <v>09</v>
      </c>
      <c r="BJ3" s="61" t="str">
        <f t="shared" si="0"/>
        <v>09</v>
      </c>
      <c r="BK3" s="61" t="str">
        <f t="shared" si="0"/>
        <v>09</v>
      </c>
      <c r="BL3" s="61" t="str">
        <f t="shared" si="0"/>
        <v>09</v>
      </c>
      <c r="BM3" s="61" t="str">
        <f t="shared" si="0"/>
        <v>09</v>
      </c>
      <c r="BN3" s="61" t="str">
        <f t="shared" si="0"/>
        <v>09</v>
      </c>
      <c r="BO3" s="61" t="str">
        <f t="shared" si="0"/>
        <v>09</v>
      </c>
      <c r="BP3" s="61" t="str">
        <f t="shared" si="0"/>
        <v>09</v>
      </c>
      <c r="BQ3" s="61" t="str">
        <f t="shared" si="0"/>
        <v>09</v>
      </c>
      <c r="BR3" s="61" t="str">
        <f t="shared" si="0"/>
        <v>09</v>
      </c>
      <c r="BS3" s="61" t="str">
        <f t="shared" si="0"/>
        <v>09</v>
      </c>
      <c r="BT3" s="61" t="str">
        <f t="shared" si="0"/>
        <v>09</v>
      </c>
      <c r="BU3" s="61" t="str">
        <f t="shared" si="0"/>
        <v>09</v>
      </c>
      <c r="BV3" s="61" t="str">
        <f t="shared" si="0"/>
        <v>09</v>
      </c>
      <c r="BW3" s="61" t="str">
        <f t="shared" si="0"/>
        <v>09</v>
      </c>
      <c r="BX3" s="61" t="str">
        <f t="shared" si="0"/>
        <v>09</v>
      </c>
      <c r="BY3" s="61" t="str">
        <f t="shared" si="0"/>
        <v>09</v>
      </c>
      <c r="BZ3" s="61" t="str">
        <f t="shared" si="0"/>
        <v>09</v>
      </c>
      <c r="CA3" s="61" t="str">
        <f t="shared" si="0"/>
        <v>09</v>
      </c>
      <c r="CB3" s="61" t="str">
        <f t="shared" si="0"/>
        <v>09</v>
      </c>
      <c r="CC3" s="61" t="str">
        <f t="shared" si="0"/>
        <v>09</v>
      </c>
      <c r="CD3" s="61" t="str">
        <f t="shared" si="0"/>
        <v>09</v>
      </c>
      <c r="CE3" s="61" t="str">
        <f t="shared" si="0"/>
        <v>09</v>
      </c>
      <c r="CF3" s="61" t="str">
        <f t="shared" si="0"/>
        <v>09</v>
      </c>
      <c r="CG3" s="61" t="str">
        <f t="shared" ref="CG3:ER3" si="1">IF(COUNTA(CG4:CG65536)=0,"","09")</f>
        <v>09</v>
      </c>
      <c r="CH3" s="61" t="str">
        <f t="shared" si="1"/>
        <v>09</v>
      </c>
      <c r="CI3" s="61" t="str">
        <f t="shared" si="1"/>
        <v>09</v>
      </c>
      <c r="CJ3" s="61" t="str">
        <f t="shared" si="1"/>
        <v>09</v>
      </c>
      <c r="CK3" s="61" t="str">
        <f t="shared" si="1"/>
        <v>09</v>
      </c>
      <c r="CL3" s="61" t="str">
        <f t="shared" si="1"/>
        <v>09</v>
      </c>
      <c r="CM3" s="61" t="str">
        <f t="shared" si="1"/>
        <v>09</v>
      </c>
      <c r="CN3" s="61" t="str">
        <f t="shared" si="1"/>
        <v>09</v>
      </c>
      <c r="CO3" s="61" t="str">
        <f t="shared" si="1"/>
        <v>09</v>
      </c>
      <c r="CP3" s="61" t="str">
        <f t="shared" si="1"/>
        <v>09</v>
      </c>
      <c r="CQ3" s="61" t="str">
        <f t="shared" si="1"/>
        <v>09</v>
      </c>
      <c r="CR3" s="61" t="str">
        <f t="shared" si="1"/>
        <v>09</v>
      </c>
      <c r="CS3" s="61" t="str">
        <f t="shared" si="1"/>
        <v>09</v>
      </c>
      <c r="CT3" s="61" t="str">
        <f t="shared" si="1"/>
        <v>09</v>
      </c>
      <c r="CU3" s="61" t="str">
        <f t="shared" si="1"/>
        <v>09</v>
      </c>
      <c r="CV3" s="61" t="str">
        <f t="shared" si="1"/>
        <v>09</v>
      </c>
      <c r="CW3" s="61" t="str">
        <f t="shared" si="1"/>
        <v>09</v>
      </c>
      <c r="CX3" s="61" t="str">
        <f t="shared" si="1"/>
        <v>09</v>
      </c>
      <c r="CY3" s="61" t="str">
        <f t="shared" si="1"/>
        <v>09</v>
      </c>
      <c r="CZ3" s="61" t="str">
        <f t="shared" si="1"/>
        <v>09</v>
      </c>
      <c r="DA3" s="61" t="str">
        <f t="shared" si="1"/>
        <v>09</v>
      </c>
      <c r="DB3" s="61" t="str">
        <f t="shared" si="1"/>
        <v>09</v>
      </c>
      <c r="DC3" s="61" t="str">
        <f t="shared" si="1"/>
        <v>09</v>
      </c>
      <c r="DD3" s="61" t="str">
        <f t="shared" si="1"/>
        <v>09</v>
      </c>
      <c r="DE3" s="61" t="str">
        <f t="shared" si="1"/>
        <v>09</v>
      </c>
      <c r="DF3" s="61" t="str">
        <f t="shared" si="1"/>
        <v>09</v>
      </c>
      <c r="DG3" s="61" t="str">
        <f t="shared" si="1"/>
        <v>09</v>
      </c>
      <c r="DH3" s="61" t="str">
        <f t="shared" si="1"/>
        <v>09</v>
      </c>
      <c r="DI3" s="61" t="str">
        <f t="shared" si="1"/>
        <v>09</v>
      </c>
      <c r="DJ3" s="61" t="str">
        <f t="shared" si="1"/>
        <v>09</v>
      </c>
      <c r="DK3" s="61" t="str">
        <f t="shared" si="1"/>
        <v>09</v>
      </c>
      <c r="DL3" s="61" t="str">
        <f t="shared" si="1"/>
        <v>09</v>
      </c>
      <c r="DM3" s="61" t="str">
        <f t="shared" si="1"/>
        <v>09</v>
      </c>
      <c r="DN3" s="61" t="str">
        <f t="shared" si="1"/>
        <v>09</v>
      </c>
      <c r="DO3" s="61" t="str">
        <f t="shared" si="1"/>
        <v>09</v>
      </c>
      <c r="DP3" s="61" t="str">
        <f t="shared" si="1"/>
        <v>09</v>
      </c>
      <c r="DQ3" s="61" t="str">
        <f t="shared" si="1"/>
        <v>09</v>
      </c>
      <c r="DR3" s="61" t="str">
        <f t="shared" si="1"/>
        <v>09</v>
      </c>
      <c r="DS3" s="61" t="str">
        <f t="shared" si="1"/>
        <v>09</v>
      </c>
      <c r="DT3" s="61" t="str">
        <f t="shared" si="1"/>
        <v>09</v>
      </c>
      <c r="DU3" s="61" t="str">
        <f t="shared" si="1"/>
        <v>09</v>
      </c>
      <c r="DV3" s="61" t="str">
        <f t="shared" si="1"/>
        <v>09</v>
      </c>
      <c r="DW3" s="61" t="str">
        <f t="shared" si="1"/>
        <v>09</v>
      </c>
      <c r="DX3" s="61" t="str">
        <f t="shared" si="1"/>
        <v>09</v>
      </c>
      <c r="DY3" s="61" t="str">
        <f t="shared" si="1"/>
        <v>09</v>
      </c>
      <c r="DZ3" s="61" t="str">
        <f t="shared" si="1"/>
        <v>09</v>
      </c>
      <c r="EA3" s="61" t="str">
        <f t="shared" si="1"/>
        <v>09</v>
      </c>
      <c r="EB3" s="61" t="str">
        <f t="shared" si="1"/>
        <v>09</v>
      </c>
      <c r="EC3" s="61" t="str">
        <f t="shared" si="1"/>
        <v>09</v>
      </c>
      <c r="ED3" s="61" t="str">
        <f t="shared" si="1"/>
        <v>09</v>
      </c>
      <c r="EE3" s="61" t="str">
        <f t="shared" si="1"/>
        <v>09</v>
      </c>
      <c r="EF3" s="61" t="str">
        <f t="shared" si="1"/>
        <v>09</v>
      </c>
      <c r="EG3" s="61" t="str">
        <f t="shared" si="1"/>
        <v>09</v>
      </c>
      <c r="EH3" s="61" t="str">
        <f t="shared" si="1"/>
        <v>09</v>
      </c>
      <c r="EI3" s="61" t="str">
        <f t="shared" si="1"/>
        <v>09</v>
      </c>
      <c r="EJ3" s="61" t="str">
        <f t="shared" si="1"/>
        <v>09</v>
      </c>
      <c r="EK3" s="61" t="str">
        <f t="shared" si="1"/>
        <v>09</v>
      </c>
      <c r="EL3" s="61" t="str">
        <f t="shared" si="1"/>
        <v>09</v>
      </c>
      <c r="EM3" s="61" t="str">
        <f t="shared" si="1"/>
        <v>09</v>
      </c>
      <c r="EN3" s="61" t="str">
        <f t="shared" si="1"/>
        <v>09</v>
      </c>
      <c r="EO3" s="61" t="str">
        <f t="shared" si="1"/>
        <v>09</v>
      </c>
      <c r="EP3" s="61" t="str">
        <f t="shared" si="1"/>
        <v>09</v>
      </c>
      <c r="EQ3" s="61" t="str">
        <f t="shared" si="1"/>
        <v>09</v>
      </c>
      <c r="ER3" s="61" t="str">
        <f t="shared" si="1"/>
        <v>09</v>
      </c>
      <c r="ES3" s="61" t="str">
        <f t="shared" ref="ES3:HD3" si="2">IF(COUNTA(ES4:ES65536)=0,"","09")</f>
        <v>09</v>
      </c>
      <c r="ET3" s="61" t="str">
        <f t="shared" si="2"/>
        <v>09</v>
      </c>
      <c r="EU3" s="61" t="str">
        <f t="shared" si="2"/>
        <v>09</v>
      </c>
      <c r="EV3" s="61" t="str">
        <f t="shared" si="2"/>
        <v>09</v>
      </c>
      <c r="EW3" s="61" t="str">
        <f t="shared" si="2"/>
        <v>09</v>
      </c>
      <c r="EX3" s="61" t="str">
        <f t="shared" si="2"/>
        <v>09</v>
      </c>
      <c r="EY3" s="61" t="str">
        <f t="shared" si="2"/>
        <v>09</v>
      </c>
      <c r="EZ3" s="61" t="str">
        <f t="shared" si="2"/>
        <v>09</v>
      </c>
      <c r="FA3" s="61" t="str">
        <f t="shared" si="2"/>
        <v>09</v>
      </c>
      <c r="FB3" s="61" t="str">
        <f t="shared" si="2"/>
        <v>09</v>
      </c>
      <c r="FC3" s="61" t="str">
        <f t="shared" si="2"/>
        <v>09</v>
      </c>
      <c r="FD3" s="61" t="str">
        <f t="shared" si="2"/>
        <v>09</v>
      </c>
      <c r="FE3" s="61" t="str">
        <f t="shared" si="2"/>
        <v>09</v>
      </c>
      <c r="FF3" s="61" t="str">
        <f t="shared" si="2"/>
        <v>09</v>
      </c>
      <c r="FG3" s="61" t="str">
        <f t="shared" si="2"/>
        <v>09</v>
      </c>
      <c r="FH3" s="61" t="str">
        <f t="shared" si="2"/>
        <v>09</v>
      </c>
      <c r="FI3" s="61" t="str">
        <f t="shared" si="2"/>
        <v>09</v>
      </c>
      <c r="FJ3" s="61" t="str">
        <f t="shared" si="2"/>
        <v>09</v>
      </c>
      <c r="FK3" s="61" t="str">
        <f t="shared" si="2"/>
        <v>09</v>
      </c>
      <c r="FL3" s="61" t="str">
        <f t="shared" si="2"/>
        <v>09</v>
      </c>
      <c r="FM3" s="61" t="str">
        <f t="shared" si="2"/>
        <v>09</v>
      </c>
      <c r="FN3" s="61" t="str">
        <f t="shared" si="2"/>
        <v>09</v>
      </c>
      <c r="FO3" s="61" t="str">
        <f t="shared" si="2"/>
        <v>09</v>
      </c>
      <c r="FP3" s="61" t="str">
        <f t="shared" si="2"/>
        <v>09</v>
      </c>
      <c r="FQ3" s="61" t="str">
        <f t="shared" si="2"/>
        <v>09</v>
      </c>
      <c r="FR3" s="61" t="str">
        <f t="shared" si="2"/>
        <v>09</v>
      </c>
      <c r="FS3" s="61" t="str">
        <f t="shared" si="2"/>
        <v>09</v>
      </c>
      <c r="FT3" s="61" t="str">
        <f t="shared" si="2"/>
        <v>09</v>
      </c>
      <c r="FU3" s="61" t="str">
        <f t="shared" si="2"/>
        <v>09</v>
      </c>
      <c r="FV3" s="61" t="str">
        <f t="shared" si="2"/>
        <v/>
      </c>
      <c r="FW3" s="61" t="str">
        <f t="shared" si="2"/>
        <v/>
      </c>
      <c r="FX3" s="61" t="str">
        <f t="shared" si="2"/>
        <v/>
      </c>
      <c r="FY3" s="61" t="str">
        <f t="shared" si="2"/>
        <v/>
      </c>
      <c r="FZ3" s="61" t="str">
        <f t="shared" si="2"/>
        <v/>
      </c>
      <c r="GA3" s="61" t="str">
        <f t="shared" si="2"/>
        <v/>
      </c>
      <c r="GB3" s="61" t="str">
        <f t="shared" si="2"/>
        <v/>
      </c>
      <c r="GC3" s="61" t="str">
        <f t="shared" si="2"/>
        <v/>
      </c>
      <c r="GD3" s="61" t="str">
        <f t="shared" si="2"/>
        <v/>
      </c>
      <c r="GE3" s="61" t="str">
        <f t="shared" si="2"/>
        <v/>
      </c>
      <c r="GF3" s="61" t="str">
        <f t="shared" si="2"/>
        <v/>
      </c>
      <c r="GG3" s="61" t="str">
        <f t="shared" si="2"/>
        <v/>
      </c>
      <c r="GH3" s="61" t="str">
        <f t="shared" si="2"/>
        <v/>
      </c>
      <c r="GI3" s="61" t="str">
        <f t="shared" si="2"/>
        <v/>
      </c>
      <c r="GJ3" s="61" t="str">
        <f t="shared" si="2"/>
        <v/>
      </c>
      <c r="GK3" s="61" t="str">
        <f t="shared" si="2"/>
        <v/>
      </c>
      <c r="GL3" s="61" t="str">
        <f t="shared" si="2"/>
        <v/>
      </c>
      <c r="GM3" s="61" t="str">
        <f t="shared" si="2"/>
        <v/>
      </c>
      <c r="GN3" s="61" t="str">
        <f t="shared" si="2"/>
        <v/>
      </c>
      <c r="GO3" s="61" t="str">
        <f t="shared" si="2"/>
        <v/>
      </c>
      <c r="GP3" s="61" t="str">
        <f t="shared" si="2"/>
        <v/>
      </c>
      <c r="GQ3" s="61" t="str">
        <f t="shared" si="2"/>
        <v/>
      </c>
      <c r="GR3" s="61" t="str">
        <f t="shared" si="2"/>
        <v/>
      </c>
      <c r="GS3" s="61" t="str">
        <f t="shared" si="2"/>
        <v/>
      </c>
      <c r="GT3" s="61" t="str">
        <f t="shared" si="2"/>
        <v/>
      </c>
      <c r="GU3" s="61" t="str">
        <f t="shared" si="2"/>
        <v/>
      </c>
      <c r="GV3" s="61" t="str">
        <f t="shared" si="2"/>
        <v/>
      </c>
      <c r="GW3" s="61" t="str">
        <f t="shared" si="2"/>
        <v/>
      </c>
      <c r="GX3" s="61" t="str">
        <f t="shared" si="2"/>
        <v/>
      </c>
      <c r="GY3" s="61" t="str">
        <f t="shared" si="2"/>
        <v/>
      </c>
      <c r="GZ3" s="61" t="str">
        <f t="shared" si="2"/>
        <v/>
      </c>
      <c r="HA3" s="61" t="str">
        <f t="shared" si="2"/>
        <v/>
      </c>
      <c r="HB3" s="61" t="str">
        <f t="shared" si="2"/>
        <v/>
      </c>
      <c r="HC3" s="61" t="str">
        <f t="shared" si="2"/>
        <v/>
      </c>
      <c r="HD3" s="61" t="str">
        <f t="shared" si="2"/>
        <v/>
      </c>
      <c r="HE3" s="61" t="str">
        <f t="shared" ref="HE3:IO3" si="3">IF(COUNTA(HE4:HE65536)=0,"","09")</f>
        <v/>
      </c>
      <c r="HF3" s="61" t="str">
        <f t="shared" si="3"/>
        <v/>
      </c>
      <c r="HG3" s="61" t="str">
        <f t="shared" si="3"/>
        <v/>
      </c>
      <c r="HH3" s="61" t="str">
        <f t="shared" si="3"/>
        <v/>
      </c>
      <c r="HI3" s="61" t="str">
        <f t="shared" si="3"/>
        <v/>
      </c>
      <c r="HJ3" s="61" t="str">
        <f t="shared" si="3"/>
        <v/>
      </c>
      <c r="HK3" s="61" t="str">
        <f t="shared" si="3"/>
        <v/>
      </c>
      <c r="HL3" s="61" t="str">
        <f t="shared" si="3"/>
        <v/>
      </c>
      <c r="HM3" s="61" t="str">
        <f t="shared" si="3"/>
        <v/>
      </c>
      <c r="HN3" s="61" t="str">
        <f t="shared" si="3"/>
        <v/>
      </c>
      <c r="HO3" s="61" t="str">
        <f t="shared" si="3"/>
        <v/>
      </c>
      <c r="HP3" s="61" t="str">
        <f t="shared" si="3"/>
        <v/>
      </c>
      <c r="HQ3" s="61" t="str">
        <f t="shared" si="3"/>
        <v/>
      </c>
      <c r="HR3" s="61" t="str">
        <f t="shared" si="3"/>
        <v/>
      </c>
      <c r="HS3" s="61" t="str">
        <f t="shared" si="3"/>
        <v/>
      </c>
      <c r="HT3" s="61" t="str">
        <f t="shared" si="3"/>
        <v/>
      </c>
      <c r="HU3" s="61" t="str">
        <f t="shared" si="3"/>
        <v/>
      </c>
      <c r="HV3" s="61" t="str">
        <f t="shared" si="3"/>
        <v/>
      </c>
      <c r="HW3" s="61" t="str">
        <f t="shared" si="3"/>
        <v/>
      </c>
      <c r="HX3" s="61" t="str">
        <f t="shared" si="3"/>
        <v/>
      </c>
      <c r="HY3" s="61" t="str">
        <f t="shared" si="3"/>
        <v/>
      </c>
      <c r="HZ3" s="61" t="str">
        <f t="shared" si="3"/>
        <v/>
      </c>
      <c r="IA3" s="61" t="str">
        <f t="shared" si="3"/>
        <v/>
      </c>
      <c r="IB3" s="61" t="str">
        <f t="shared" si="3"/>
        <v/>
      </c>
      <c r="IC3" s="61" t="str">
        <f t="shared" si="3"/>
        <v/>
      </c>
      <c r="ID3" s="61" t="str">
        <f t="shared" si="3"/>
        <v/>
      </c>
      <c r="IE3" s="61" t="str">
        <f t="shared" si="3"/>
        <v/>
      </c>
      <c r="IF3" s="61" t="str">
        <f t="shared" si="3"/>
        <v/>
      </c>
      <c r="IG3" s="61" t="str">
        <f t="shared" si="3"/>
        <v/>
      </c>
      <c r="IH3" s="61" t="str">
        <f t="shared" si="3"/>
        <v/>
      </c>
      <c r="II3" s="61" t="str">
        <f t="shared" si="3"/>
        <v/>
      </c>
      <c r="IJ3" s="61" t="str">
        <f t="shared" si="3"/>
        <v/>
      </c>
      <c r="IK3" s="61" t="str">
        <f t="shared" si="3"/>
        <v/>
      </c>
      <c r="IL3" s="61" t="str">
        <f t="shared" si="3"/>
        <v/>
      </c>
      <c r="IM3" s="61" t="str">
        <f t="shared" si="3"/>
        <v/>
      </c>
      <c r="IN3" s="61" t="str">
        <f t="shared" si="3"/>
        <v/>
      </c>
      <c r="IO3" s="61" t="str">
        <f t="shared" si="3"/>
        <v/>
      </c>
    </row>
    <row r="4" spans="1:249" x14ac:dyDescent="0.2">
      <c r="A4" s="1" t="s">
        <v>1208</v>
      </c>
      <c r="B4" s="1" t="s">
        <v>55</v>
      </c>
      <c r="C4" s="1" t="s">
        <v>1209</v>
      </c>
      <c r="D4" s="1" t="s">
        <v>2</v>
      </c>
      <c r="E4" s="1">
        <v>13</v>
      </c>
      <c r="F4" s="1" t="s">
        <v>1210</v>
      </c>
      <c r="H4" s="1" t="s">
        <v>1211</v>
      </c>
      <c r="I4" s="1" t="s">
        <v>7</v>
      </c>
      <c r="J4" s="1" t="s">
        <v>1212</v>
      </c>
      <c r="K4" s="1" t="s">
        <v>1213</v>
      </c>
      <c r="L4" s="1" t="s">
        <v>1212</v>
      </c>
      <c r="O4" s="1">
        <v>5</v>
      </c>
      <c r="Q4" s="1">
        <v>2007</v>
      </c>
      <c r="R4" s="1" t="s">
        <v>1214</v>
      </c>
      <c r="S4" s="1" t="s">
        <v>27</v>
      </c>
      <c r="T4" s="6">
        <v>1</v>
      </c>
      <c r="U4" s="1">
        <v>75.680000000000007</v>
      </c>
      <c r="W4" s="1">
        <v>5.7</v>
      </c>
      <c r="Y4" s="1">
        <v>1.6116699999999999</v>
      </c>
      <c r="Z4" s="1">
        <v>1.52145</v>
      </c>
      <c r="AA4" s="1">
        <v>1.78807</v>
      </c>
      <c r="AE4" s="1">
        <v>4.9367000000000001</v>
      </c>
      <c r="AF4" s="1">
        <v>1.1878599999999999</v>
      </c>
      <c r="AG4" s="1">
        <v>0.60021000000000002</v>
      </c>
      <c r="AW4" s="1">
        <v>0.20275000000000001</v>
      </c>
      <c r="AX4" s="1">
        <v>7.5500000000000003E-3</v>
      </c>
      <c r="AY4" s="1">
        <v>2.1010000000000001E-2</v>
      </c>
      <c r="BA4" s="1">
        <v>1.06959</v>
      </c>
      <c r="BB4" s="1">
        <v>2.7899999999999999E-3</v>
      </c>
      <c r="BC4" s="1">
        <v>5.1799999999999997E-3</v>
      </c>
      <c r="BD4" s="1">
        <v>1.6250000000000001E-2</v>
      </c>
      <c r="BG4" s="1">
        <v>0.28366999999999998</v>
      </c>
      <c r="BH4" s="1">
        <v>8.9999999999999993E-3</v>
      </c>
      <c r="BI4" s="1">
        <v>9.41E-3</v>
      </c>
      <c r="BZ4" s="1">
        <v>0.25208000000000003</v>
      </c>
      <c r="CC4" s="1">
        <v>5.1799999999999997E-3</v>
      </c>
      <c r="CK4" s="1">
        <v>0.84238999999999997</v>
      </c>
      <c r="CM4" s="1">
        <v>0.13477</v>
      </c>
      <c r="CV4" s="1">
        <v>0.15672</v>
      </c>
      <c r="CX4" s="1">
        <v>9.7300000000000008E-3</v>
      </c>
      <c r="DA4" s="1">
        <v>0.10753</v>
      </c>
      <c r="DB4" s="1">
        <v>1.304E-2</v>
      </c>
      <c r="DN4" s="1">
        <v>0.51432</v>
      </c>
      <c r="EA4" s="1">
        <v>1.005E-2</v>
      </c>
      <c r="ED4" s="1">
        <v>1.0359999999999999E-2</v>
      </c>
      <c r="EH4" s="1">
        <v>8.3830000000000002E-2</v>
      </c>
      <c r="EL4" s="1">
        <v>7.8700000000000003E-3</v>
      </c>
      <c r="EQ4" s="1">
        <v>2.0590000000000001E-2</v>
      </c>
      <c r="ET4" s="1">
        <v>6.5089999999999995E-2</v>
      </c>
      <c r="EX4" s="1">
        <v>2.4629999999999999E-2</v>
      </c>
      <c r="EY4" s="1">
        <v>4.2959999999999998E-2</v>
      </c>
      <c r="FA4" s="1">
        <v>1.7080000000000001E-2</v>
      </c>
      <c r="FE4" s="1">
        <v>0.29574</v>
      </c>
      <c r="FI4" s="1">
        <v>6.8300000000000001E-3</v>
      </c>
      <c r="FJ4" s="1">
        <v>8.8950000000000001E-2</v>
      </c>
      <c r="FM4" s="1">
        <v>0.57279000000000002</v>
      </c>
    </row>
    <row r="5" spans="1:249" x14ac:dyDescent="0.2">
      <c r="A5" s="1" t="s">
        <v>1215</v>
      </c>
      <c r="B5" s="1" t="s">
        <v>55</v>
      </c>
      <c r="C5" s="1" t="s">
        <v>1209</v>
      </c>
      <c r="D5" s="1" t="s">
        <v>2</v>
      </c>
      <c r="E5" s="1">
        <v>13</v>
      </c>
      <c r="F5" s="1" t="s">
        <v>1210</v>
      </c>
      <c r="H5" s="1" t="s">
        <v>1216</v>
      </c>
      <c r="I5" s="1" t="s">
        <v>11</v>
      </c>
      <c r="J5" s="1" t="s">
        <v>1212</v>
      </c>
      <c r="K5" s="1" t="s">
        <v>1213</v>
      </c>
      <c r="L5" s="1" t="s">
        <v>1212</v>
      </c>
      <c r="N5" s="1" t="s">
        <v>1217</v>
      </c>
      <c r="O5" s="1">
        <v>5</v>
      </c>
      <c r="Q5" s="1">
        <v>2007</v>
      </c>
      <c r="R5" s="1" t="s">
        <v>1214</v>
      </c>
      <c r="S5" s="1" t="s">
        <v>27</v>
      </c>
      <c r="T5" s="6">
        <v>1</v>
      </c>
      <c r="U5" s="1">
        <v>71.08</v>
      </c>
      <c r="W5" s="1">
        <v>5.9</v>
      </c>
      <c r="Y5" s="1">
        <v>1.6909700000000001</v>
      </c>
      <c r="Z5" s="1">
        <v>1.52946</v>
      </c>
      <c r="AA5" s="1">
        <v>1.8943700000000001</v>
      </c>
      <c r="AE5" s="1">
        <v>5.1314099999999998</v>
      </c>
      <c r="AF5" s="1">
        <v>1.2231099999999999</v>
      </c>
      <c r="AG5" s="1">
        <v>0.67125999999999997</v>
      </c>
      <c r="AW5" s="1">
        <v>0.21862000000000001</v>
      </c>
      <c r="AX5" s="1">
        <v>7.9100000000000004E-3</v>
      </c>
      <c r="AY5" s="1">
        <v>2.2599999999999999E-2</v>
      </c>
      <c r="BA5" s="1">
        <v>1.1211100000000001</v>
      </c>
      <c r="BB5" s="1">
        <v>3.2299999999999998E-3</v>
      </c>
      <c r="BC5" s="1">
        <v>5.47E-3</v>
      </c>
      <c r="BD5" s="1">
        <v>1.643E-2</v>
      </c>
      <c r="BG5" s="1">
        <v>0.29241</v>
      </c>
      <c r="BH5" s="1">
        <v>1.038E-2</v>
      </c>
      <c r="BI5" s="1">
        <v>9.41E-3</v>
      </c>
      <c r="BZ5" s="1">
        <v>0.26407000000000003</v>
      </c>
      <c r="CC5" s="1">
        <v>5.3299999999999997E-3</v>
      </c>
      <c r="CK5" s="1">
        <v>0.85335000000000005</v>
      </c>
      <c r="CM5" s="1">
        <v>0.14004</v>
      </c>
      <c r="CV5" s="1">
        <v>0.15293000000000001</v>
      </c>
      <c r="CX5" s="1">
        <v>9.4299999999999991E-3</v>
      </c>
      <c r="DA5" s="1">
        <v>9.7460000000000005E-2</v>
      </c>
      <c r="DB5" s="1">
        <v>6.8500000000000002E-3</v>
      </c>
      <c r="DN5" s="1">
        <v>0.61212</v>
      </c>
      <c r="EA5" s="1">
        <v>1.008E-2</v>
      </c>
      <c r="ED5" s="1">
        <v>1.017E-2</v>
      </c>
      <c r="EH5" s="1">
        <v>8.7389999999999995E-2</v>
      </c>
      <c r="EL5" s="1">
        <v>4.7400000000000003E-3</v>
      </c>
      <c r="EQ5" s="1">
        <v>2.308E-2</v>
      </c>
      <c r="ET5" s="1">
        <v>6.8040000000000003E-2</v>
      </c>
      <c r="EX5" s="1">
        <v>2.6929999999999999E-2</v>
      </c>
      <c r="EY5" s="1">
        <v>4.333E-2</v>
      </c>
      <c r="FA5" s="1">
        <v>1.687E-2</v>
      </c>
      <c r="FE5" s="1">
        <v>0.31064000000000003</v>
      </c>
      <c r="FI5" s="1">
        <v>5.1700000000000001E-3</v>
      </c>
      <c r="FJ5" s="1">
        <v>8.8690000000000005E-2</v>
      </c>
      <c r="FM5" s="1">
        <v>0.58711999999999998</v>
      </c>
    </row>
    <row r="6" spans="1:249" x14ac:dyDescent="0.2">
      <c r="A6" s="1" t="s">
        <v>1218</v>
      </c>
      <c r="B6" s="1" t="s">
        <v>55</v>
      </c>
      <c r="C6" s="1" t="s">
        <v>1209</v>
      </c>
      <c r="D6" s="1" t="s">
        <v>2</v>
      </c>
      <c r="E6" s="1">
        <v>13</v>
      </c>
      <c r="F6" s="1" t="s">
        <v>1210</v>
      </c>
      <c r="H6" s="1" t="s">
        <v>1219</v>
      </c>
      <c r="I6" s="1" t="s">
        <v>11</v>
      </c>
      <c r="J6" s="1" t="s">
        <v>1212</v>
      </c>
      <c r="K6" s="1" t="s">
        <v>1213</v>
      </c>
      <c r="L6" s="1" t="s">
        <v>1212</v>
      </c>
      <c r="N6" s="1" t="s">
        <v>1220</v>
      </c>
      <c r="O6" s="1">
        <v>5</v>
      </c>
      <c r="Q6" s="1">
        <v>2007</v>
      </c>
      <c r="R6" s="1" t="s">
        <v>1214</v>
      </c>
      <c r="S6" s="1" t="s">
        <v>27</v>
      </c>
      <c r="T6" s="6">
        <v>1</v>
      </c>
      <c r="U6" s="1" t="s">
        <v>1222</v>
      </c>
      <c r="W6" s="1" t="s">
        <v>1224</v>
      </c>
      <c r="Y6" s="1">
        <v>2.1696399999999998</v>
      </c>
      <c r="Z6" s="1">
        <v>2.3936700000000002</v>
      </c>
      <c r="AA6" s="1">
        <v>3.8993799999999998</v>
      </c>
      <c r="AE6" s="1">
        <v>8.4780899999999999</v>
      </c>
      <c r="AF6" s="1">
        <v>1.25807</v>
      </c>
      <c r="AG6" s="1">
        <v>2.6413099999999998</v>
      </c>
      <c r="AW6" s="1">
        <v>0.20934</v>
      </c>
      <c r="AX6" s="1">
        <v>7.3699999999999998E-3</v>
      </c>
      <c r="AY6" s="1">
        <v>2.1600000000000001E-2</v>
      </c>
      <c r="BA6" s="1">
        <v>1.49515</v>
      </c>
      <c r="BB6" s="1">
        <v>2.8999999999999998E-3</v>
      </c>
      <c r="BC6" s="1">
        <v>5.13E-3</v>
      </c>
      <c r="BD6" s="1">
        <v>1.694E-2</v>
      </c>
      <c r="BG6" s="1">
        <v>0.40084999999999998</v>
      </c>
      <c r="BH6" s="1">
        <v>1.0279999999999999E-2</v>
      </c>
      <c r="BI6" s="1">
        <v>1.5480000000000001E-2</v>
      </c>
      <c r="BZ6" s="1">
        <v>0.25591999999999998</v>
      </c>
      <c r="CC6" s="1">
        <v>4.81E-3</v>
      </c>
      <c r="CK6" s="1">
        <v>1.7077899999999999</v>
      </c>
      <c r="CM6" s="1">
        <v>0.15859999999999999</v>
      </c>
      <c r="CV6" s="1">
        <v>0.15035999999999999</v>
      </c>
      <c r="CX6" s="1">
        <v>9.7800000000000005E-3</v>
      </c>
      <c r="DA6" s="1">
        <v>9.3359999999999999E-2</v>
      </c>
      <c r="DB6" s="1">
        <v>1.306E-2</v>
      </c>
      <c r="DN6" s="1">
        <v>2.5823900000000002</v>
      </c>
      <c r="EA6" s="1">
        <v>1.031E-2</v>
      </c>
      <c r="ED6" s="1">
        <v>1.0829999999999999E-2</v>
      </c>
      <c r="EH6" s="1">
        <v>8.9510000000000006E-2</v>
      </c>
      <c r="EL6" s="1">
        <v>3.2699999999999999E-3</v>
      </c>
      <c r="EQ6" s="1">
        <v>2.2800000000000001E-2</v>
      </c>
      <c r="ET6" s="1">
        <v>6.7089999999999997E-2</v>
      </c>
      <c r="EX6" s="1">
        <v>2.7629999999999998E-2</v>
      </c>
      <c r="EY6" s="1">
        <v>4.3090000000000003E-2</v>
      </c>
      <c r="FA6" s="1">
        <v>1.6899999999999998E-2</v>
      </c>
      <c r="FE6" s="1">
        <v>0.31578000000000001</v>
      </c>
      <c r="FI6" s="1">
        <v>3.5500000000000002E-3</v>
      </c>
      <c r="FJ6" s="1">
        <v>9.4210000000000002E-2</v>
      </c>
      <c r="FM6" s="1">
        <v>0.61202000000000001</v>
      </c>
    </row>
    <row r="7" spans="1:249" x14ac:dyDescent="0.2">
      <c r="A7" s="1" t="s">
        <v>1245</v>
      </c>
      <c r="B7" s="1" t="s">
        <v>55</v>
      </c>
      <c r="C7" s="1" t="s">
        <v>1209</v>
      </c>
      <c r="D7" s="1" t="s">
        <v>2</v>
      </c>
      <c r="E7" s="1">
        <v>13</v>
      </c>
      <c r="F7" s="1" t="s">
        <v>1210</v>
      </c>
      <c r="H7" s="1" t="s">
        <v>1246</v>
      </c>
      <c r="I7" s="1" t="s">
        <v>11</v>
      </c>
      <c r="J7" s="1" t="s">
        <v>1212</v>
      </c>
      <c r="K7" s="1" t="s">
        <v>1213</v>
      </c>
      <c r="L7" s="1" t="s">
        <v>1212</v>
      </c>
      <c r="N7" s="1" t="s">
        <v>1247</v>
      </c>
      <c r="O7" s="1">
        <v>5</v>
      </c>
      <c r="Q7" s="1">
        <v>2007</v>
      </c>
      <c r="R7" s="1" t="s">
        <v>1214</v>
      </c>
      <c r="S7" s="1" t="s">
        <v>27</v>
      </c>
      <c r="T7" s="6">
        <v>1</v>
      </c>
      <c r="U7" s="1">
        <v>65.760000000000005</v>
      </c>
      <c r="W7" s="1">
        <v>6.88</v>
      </c>
      <c r="Y7" s="1">
        <v>1.9800500000000001</v>
      </c>
      <c r="Z7" s="1">
        <v>1.73308</v>
      </c>
      <c r="AA7" s="1">
        <v>2.2125699999999999</v>
      </c>
      <c r="AE7" s="1">
        <v>5.9449399999999999</v>
      </c>
      <c r="AF7" s="1">
        <v>1.4641</v>
      </c>
      <c r="AG7" s="1">
        <v>0.74841999999999997</v>
      </c>
      <c r="AW7" s="1">
        <v>0.25555</v>
      </c>
      <c r="AX7" s="1">
        <v>8.8900000000000003E-3</v>
      </c>
      <c r="AY7" s="1">
        <v>2.606E-2</v>
      </c>
      <c r="BA7" s="1">
        <v>1.31446</v>
      </c>
      <c r="BB7" s="1">
        <v>4.5700000000000003E-3</v>
      </c>
      <c r="BC7" s="1">
        <v>5.8300000000000001E-3</v>
      </c>
      <c r="BD7" s="1">
        <v>1.9709999999999998E-2</v>
      </c>
      <c r="BG7" s="1">
        <v>0.34129999999999999</v>
      </c>
      <c r="BH7" s="1">
        <v>1.272E-2</v>
      </c>
      <c r="BI7" s="1">
        <v>1.025E-2</v>
      </c>
      <c r="BZ7" s="1">
        <v>0.31309999999999999</v>
      </c>
      <c r="CC7" s="1">
        <v>6.1500000000000001E-3</v>
      </c>
      <c r="CK7" s="1">
        <v>0.94798000000000004</v>
      </c>
      <c r="CM7" s="1">
        <v>0.16575999999999999</v>
      </c>
      <c r="CV7" s="1">
        <v>1.7469999999999999E-2</v>
      </c>
      <c r="CX7" s="1">
        <v>1.0749999999999999E-2</v>
      </c>
      <c r="DA7" s="1">
        <v>0.10725999999999999</v>
      </c>
      <c r="DB7" s="1">
        <v>7.3699999999999998E-3</v>
      </c>
      <c r="DN7" s="1">
        <v>0.67945999999999995</v>
      </c>
      <c r="EA7" s="1">
        <v>1.1690000000000001E-2</v>
      </c>
      <c r="ED7" s="1">
        <v>1.093E-2</v>
      </c>
      <c r="EH7" s="1">
        <v>0.10495</v>
      </c>
      <c r="EL7" s="1">
        <v>1.83E-3</v>
      </c>
      <c r="EQ7" s="1">
        <v>2.8400000000000002E-2</v>
      </c>
      <c r="ET7" s="1">
        <v>8.3260000000000001E-2</v>
      </c>
      <c r="EX7" s="1">
        <v>3.2480000000000002E-2</v>
      </c>
      <c r="EY7" s="1">
        <v>5.101E-2</v>
      </c>
      <c r="FA7" s="1">
        <v>2.0049999999999998E-2</v>
      </c>
      <c r="FE7" s="1">
        <v>0.37902999999999998</v>
      </c>
      <c r="FI7" s="1">
        <v>5.4999999999999997E-3</v>
      </c>
      <c r="FJ7" s="1">
        <v>0.10607999999999999</v>
      </c>
      <c r="FM7" s="1">
        <v>0.69784000000000002</v>
      </c>
    </row>
    <row r="8" spans="1:249" x14ac:dyDescent="0.2">
      <c r="A8" s="1" t="s">
        <v>1248</v>
      </c>
      <c r="B8" s="1" t="s">
        <v>55</v>
      </c>
      <c r="C8" s="1" t="s">
        <v>1249</v>
      </c>
      <c r="E8" s="1">
        <v>37</v>
      </c>
      <c r="F8" s="1" t="s">
        <v>1250</v>
      </c>
      <c r="H8" s="1" t="s">
        <v>1251</v>
      </c>
      <c r="I8" s="1" t="s">
        <v>7</v>
      </c>
      <c r="J8" s="1" t="s">
        <v>1252</v>
      </c>
      <c r="K8" s="1" t="s">
        <v>1253</v>
      </c>
      <c r="L8" s="1" t="s">
        <v>1252</v>
      </c>
      <c r="O8" s="1">
        <v>1</v>
      </c>
      <c r="Q8" s="1">
        <v>2010</v>
      </c>
      <c r="R8" s="1" t="s">
        <v>1254</v>
      </c>
      <c r="S8" s="1" t="s">
        <v>27</v>
      </c>
      <c r="T8" s="6">
        <v>1</v>
      </c>
      <c r="U8" s="1">
        <v>65.98</v>
      </c>
      <c r="V8" s="1">
        <v>14.46</v>
      </c>
    </row>
    <row r="9" spans="1:249" x14ac:dyDescent="0.2">
      <c r="A9" s="1" t="s">
        <v>1255</v>
      </c>
      <c r="B9" s="1" t="s">
        <v>55</v>
      </c>
      <c r="C9" s="1" t="s">
        <v>1249</v>
      </c>
      <c r="E9" s="1">
        <v>37</v>
      </c>
      <c r="F9" s="1" t="s">
        <v>1250</v>
      </c>
      <c r="H9" s="1" t="s">
        <v>1256</v>
      </c>
      <c r="I9" s="1" t="s">
        <v>11</v>
      </c>
      <c r="J9" s="1" t="s">
        <v>1252</v>
      </c>
      <c r="K9" s="1" t="s">
        <v>1253</v>
      </c>
      <c r="L9" s="1" t="s">
        <v>1252</v>
      </c>
      <c r="N9" s="1" t="s">
        <v>1257</v>
      </c>
      <c r="O9" s="1">
        <v>1</v>
      </c>
      <c r="Q9" s="1">
        <v>2010</v>
      </c>
      <c r="R9" s="1" t="s">
        <v>1254</v>
      </c>
      <c r="S9" s="1" t="s">
        <v>27</v>
      </c>
      <c r="T9" s="6">
        <v>1</v>
      </c>
      <c r="U9" s="1">
        <v>56.52</v>
      </c>
      <c r="V9" s="1">
        <v>19.61</v>
      </c>
    </row>
    <row r="10" spans="1:249" x14ac:dyDescent="0.2">
      <c r="A10" s="1" t="s">
        <v>1258</v>
      </c>
      <c r="B10" s="1" t="s">
        <v>55</v>
      </c>
      <c r="C10" s="1" t="s">
        <v>1249</v>
      </c>
      <c r="E10" s="1">
        <v>37</v>
      </c>
      <c r="F10" s="1" t="s">
        <v>1250</v>
      </c>
      <c r="H10" s="1" t="s">
        <v>1259</v>
      </c>
      <c r="I10" s="1" t="s">
        <v>11</v>
      </c>
      <c r="J10" s="1" t="s">
        <v>1252</v>
      </c>
      <c r="K10" s="1" t="s">
        <v>1253</v>
      </c>
      <c r="L10" s="1" t="s">
        <v>1252</v>
      </c>
      <c r="N10" s="1" t="s">
        <v>1260</v>
      </c>
      <c r="O10" s="1">
        <v>1</v>
      </c>
      <c r="Q10" s="1">
        <v>2010</v>
      </c>
      <c r="R10" s="1" t="s">
        <v>1254</v>
      </c>
      <c r="S10" s="1" t="s">
        <v>27</v>
      </c>
      <c r="T10" s="6">
        <v>1</v>
      </c>
      <c r="U10" s="1">
        <v>59.13</v>
      </c>
      <c r="V10" s="1">
        <v>15.89</v>
      </c>
    </row>
    <row r="11" spans="1:249" x14ac:dyDescent="0.2">
      <c r="A11" s="1" t="s">
        <v>1261</v>
      </c>
      <c r="B11" s="1" t="s">
        <v>55</v>
      </c>
      <c r="C11" s="1" t="s">
        <v>1249</v>
      </c>
      <c r="E11" s="1">
        <v>37</v>
      </c>
      <c r="F11" s="1" t="s">
        <v>1250</v>
      </c>
      <c r="H11" s="1" t="s">
        <v>1262</v>
      </c>
      <c r="I11" s="1" t="s">
        <v>11</v>
      </c>
      <c r="J11" s="1" t="s">
        <v>1252</v>
      </c>
      <c r="K11" s="1" t="s">
        <v>1253</v>
      </c>
      <c r="L11" s="1" t="s">
        <v>1252</v>
      </c>
      <c r="N11" s="1" t="s">
        <v>1263</v>
      </c>
      <c r="O11" s="1">
        <v>1</v>
      </c>
      <c r="Q11" s="1">
        <v>2010</v>
      </c>
      <c r="R11" s="1" t="s">
        <v>1254</v>
      </c>
      <c r="S11" s="1" t="s">
        <v>27</v>
      </c>
      <c r="T11" s="6">
        <v>1</v>
      </c>
      <c r="U11" s="1">
        <v>61.54</v>
      </c>
      <c r="V11" s="1">
        <v>13.44</v>
      </c>
    </row>
    <row r="12" spans="1:249" x14ac:dyDescent="0.2">
      <c r="A12" s="1" t="s">
        <v>1264</v>
      </c>
      <c r="B12" s="1" t="s">
        <v>55</v>
      </c>
      <c r="C12" s="1" t="s">
        <v>1265</v>
      </c>
      <c r="D12" s="1" t="s">
        <v>2</v>
      </c>
      <c r="E12" s="1">
        <v>13</v>
      </c>
      <c r="F12" s="1" t="s">
        <v>1266</v>
      </c>
      <c r="H12" s="1" t="s">
        <v>1267</v>
      </c>
      <c r="I12" s="1" t="s">
        <v>7</v>
      </c>
      <c r="J12" s="1" t="s">
        <v>1268</v>
      </c>
      <c r="K12" s="1" t="s">
        <v>1269</v>
      </c>
      <c r="L12" s="1" t="s">
        <v>1268</v>
      </c>
      <c r="P12" s="1" t="s">
        <v>1270</v>
      </c>
      <c r="Q12" s="1">
        <v>2009</v>
      </c>
      <c r="R12" s="1" t="s">
        <v>1271</v>
      </c>
      <c r="S12" s="1" t="s">
        <v>27</v>
      </c>
      <c r="T12" s="6">
        <v>1</v>
      </c>
      <c r="V12" s="1">
        <v>2.5499999999999998</v>
      </c>
      <c r="Y12" s="1">
        <v>0.95327074499999997</v>
      </c>
      <c r="Z12" s="1">
        <v>0.77572043499999999</v>
      </c>
      <c r="AA12" s="1">
        <v>0.39557493500000002</v>
      </c>
      <c r="AB12" s="1">
        <v>0.11158388499999999</v>
      </c>
      <c r="AD12" s="1">
        <v>0.87692156862745096</v>
      </c>
      <c r="AW12" s="1">
        <v>0.111136655</v>
      </c>
      <c r="BA12" s="1">
        <v>0.655862795</v>
      </c>
      <c r="BG12" s="1">
        <v>0.16950017000000001</v>
      </c>
      <c r="BI12" s="1">
        <v>6.2612199999999996E-3</v>
      </c>
      <c r="BM12" s="1">
        <v>1.0509905E-2</v>
      </c>
      <c r="BZ12" s="1">
        <v>3.4213094999999999E-2</v>
      </c>
      <c r="CK12" s="1">
        <v>0.69164119499999999</v>
      </c>
      <c r="CM12" s="1">
        <v>0</v>
      </c>
      <c r="CV12" s="1">
        <v>3.7120090000000001E-2</v>
      </c>
      <c r="DD12" s="1">
        <v>1.2746054999999999E-2</v>
      </c>
      <c r="DN12" s="1">
        <v>0.188507445</v>
      </c>
      <c r="EH12" s="1">
        <v>2.3926804999999999E-2</v>
      </c>
      <c r="EX12" s="1">
        <v>2.3032344999999999E-2</v>
      </c>
      <c r="FA12" s="1">
        <v>1.8336430000000001E-2</v>
      </c>
      <c r="FE12" s="1">
        <v>6.9320650000000003E-3</v>
      </c>
      <c r="FJ12" s="1">
        <v>2.8846335000000001E-2</v>
      </c>
      <c r="FM12" s="1">
        <v>0.10599351</v>
      </c>
    </row>
    <row r="13" spans="1:249" x14ac:dyDescent="0.2">
      <c r="A13" s="1" t="s">
        <v>1272</v>
      </c>
      <c r="B13" s="1" t="s">
        <v>55</v>
      </c>
      <c r="C13" s="1" t="s">
        <v>1273</v>
      </c>
      <c r="D13" s="1" t="s">
        <v>2</v>
      </c>
      <c r="E13" s="1">
        <v>23</v>
      </c>
      <c r="F13" s="1" t="s">
        <v>1274</v>
      </c>
      <c r="H13" s="1" t="s">
        <v>1275</v>
      </c>
      <c r="I13" s="1" t="s">
        <v>7</v>
      </c>
      <c r="J13" s="1" t="s">
        <v>1276</v>
      </c>
      <c r="K13" s="1" t="s">
        <v>1277</v>
      </c>
      <c r="L13" s="1" t="s">
        <v>1276</v>
      </c>
      <c r="P13" s="1" t="s">
        <v>1270</v>
      </c>
      <c r="Q13" s="1">
        <v>2009</v>
      </c>
      <c r="R13" s="1" t="s">
        <v>1271</v>
      </c>
      <c r="S13" s="1" t="s">
        <v>27</v>
      </c>
      <c r="T13" s="6">
        <v>1</v>
      </c>
      <c r="V13" s="1">
        <v>9.92</v>
      </c>
      <c r="Y13" s="1">
        <v>2.6936136159999999</v>
      </c>
      <c r="Z13" s="1">
        <v>2.8804169960000001</v>
      </c>
      <c r="AA13" s="1">
        <v>3.388886684</v>
      </c>
      <c r="AB13" s="1">
        <v>0.14944270400000001</v>
      </c>
      <c r="AD13" s="1">
        <v>0.91858467741935501</v>
      </c>
      <c r="AW13" s="1">
        <v>3.189326E-2</v>
      </c>
      <c r="BA13" s="1">
        <v>1.7960461560000001</v>
      </c>
      <c r="BG13" s="1">
        <v>0.58592474800000005</v>
      </c>
      <c r="BI13" s="1">
        <v>2.0047191999999998E-2</v>
      </c>
      <c r="BM13" s="1">
        <v>0.25970226000000002</v>
      </c>
      <c r="BZ13" s="1">
        <v>0.57772362399999999</v>
      </c>
      <c r="CK13" s="1">
        <v>1.5263203000000001</v>
      </c>
      <c r="CM13" s="1">
        <v>0.41552361599999998</v>
      </c>
      <c r="CV13" s="1">
        <v>0.23327641599999999</v>
      </c>
      <c r="DD13" s="1">
        <v>0.12757304</v>
      </c>
      <c r="DN13" s="1">
        <v>0.19682697599999999</v>
      </c>
      <c r="EH13" s="1">
        <v>2.733708E-2</v>
      </c>
      <c r="EX13" s="1">
        <v>0.226897764</v>
      </c>
      <c r="FA13" s="1">
        <v>6.4697755999999995E-2</v>
      </c>
      <c r="FE13" s="1">
        <v>0.75359217199999995</v>
      </c>
      <c r="FJ13" s="1">
        <v>0.27883821600000003</v>
      </c>
      <c r="FM13" s="1">
        <v>1.84069672</v>
      </c>
    </row>
    <row r="14" spans="1:249" x14ac:dyDescent="0.2">
      <c r="A14" s="1" t="s">
        <v>1278</v>
      </c>
      <c r="B14" s="1" t="s">
        <v>55</v>
      </c>
      <c r="C14" s="1" t="s">
        <v>1279</v>
      </c>
      <c r="D14" s="1" t="s">
        <v>2</v>
      </c>
      <c r="E14" s="1">
        <v>13</v>
      </c>
      <c r="F14" s="1" t="s">
        <v>1280</v>
      </c>
      <c r="H14" s="1" t="s">
        <v>1281</v>
      </c>
      <c r="I14" s="1" t="s">
        <v>7</v>
      </c>
      <c r="J14" s="1" t="s">
        <v>1282</v>
      </c>
      <c r="K14" s="1" t="s">
        <v>1283</v>
      </c>
      <c r="L14" s="1" t="s">
        <v>1282</v>
      </c>
      <c r="M14" s="1" t="s">
        <v>1284</v>
      </c>
      <c r="N14" s="1" t="s">
        <v>1285</v>
      </c>
      <c r="O14" s="1">
        <v>6</v>
      </c>
      <c r="Q14" s="1">
        <v>2003</v>
      </c>
      <c r="R14" s="1" t="s">
        <v>1286</v>
      </c>
      <c r="S14" s="1" t="s">
        <v>27</v>
      </c>
      <c r="T14" s="6">
        <v>1</v>
      </c>
      <c r="U14" s="1">
        <v>77.17</v>
      </c>
      <c r="W14" s="1">
        <v>2.87</v>
      </c>
      <c r="Y14" s="1">
        <v>0.48566140000000002</v>
      </c>
      <c r="Z14" s="1">
        <v>0.55597640000000004</v>
      </c>
      <c r="AA14" s="1">
        <v>0.72335479999999996</v>
      </c>
      <c r="AF14" s="1">
        <v>0.58829260000000005</v>
      </c>
      <c r="AG14" s="1">
        <v>0.13506219999999999</v>
      </c>
      <c r="AW14" s="1">
        <v>7.1663900000000003E-2</v>
      </c>
      <c r="AY14" s="1">
        <v>7.4045999999999999E-3</v>
      </c>
      <c r="BA14" s="1">
        <v>0.35737239999999998</v>
      </c>
      <c r="BG14" s="1">
        <v>4.69819E-2</v>
      </c>
      <c r="BI14" s="1">
        <v>2.2385999999999999E-3</v>
      </c>
      <c r="BS14" s="1">
        <v>2.7265000000000002E-3</v>
      </c>
      <c r="CA14" s="1">
        <v>0.14717359999999999</v>
      </c>
      <c r="CF14" s="1">
        <v>1.24558E-2</v>
      </c>
      <c r="CG14" s="1">
        <v>4.6293099999999997E-2</v>
      </c>
      <c r="CI14" s="1">
        <v>0.28854980000000002</v>
      </c>
      <c r="CV14" s="1">
        <v>3.5932400000000003E-2</v>
      </c>
      <c r="DA14" s="1">
        <v>1.8454100000000001E-2</v>
      </c>
      <c r="DB14" s="1">
        <v>4.3911000000000002E-3</v>
      </c>
      <c r="DN14" s="1">
        <v>0.1083712</v>
      </c>
      <c r="DT14" s="1">
        <v>3.6162E-3</v>
      </c>
      <c r="EH14" s="1">
        <v>1.8167099999999999E-2</v>
      </c>
      <c r="ET14" s="1">
        <v>1.96308E-2</v>
      </c>
      <c r="EX14" s="1">
        <v>1.62729E-2</v>
      </c>
      <c r="EY14" s="1">
        <v>9.2414000000000003E-3</v>
      </c>
      <c r="FE14" s="1">
        <v>0.1421511</v>
      </c>
      <c r="FI14" s="1">
        <v>6.8018999999999996E-3</v>
      </c>
      <c r="FJ14" s="1">
        <v>3.1828299999999997E-2</v>
      </c>
      <c r="FM14" s="1">
        <v>0.36727389999999999</v>
      </c>
    </row>
    <row r="15" spans="1:249" x14ac:dyDescent="0.2">
      <c r="A15" s="1" t="s">
        <v>1287</v>
      </c>
      <c r="B15" s="1" t="s">
        <v>55</v>
      </c>
      <c r="C15" s="1" t="s">
        <v>1288</v>
      </c>
      <c r="D15" s="1" t="s">
        <v>2</v>
      </c>
      <c r="E15" s="1">
        <v>33</v>
      </c>
      <c r="F15" s="1" t="s">
        <v>1289</v>
      </c>
      <c r="H15" s="1" t="s">
        <v>1290</v>
      </c>
      <c r="I15" s="1" t="s">
        <v>7</v>
      </c>
      <c r="J15" s="1" t="s">
        <v>1291</v>
      </c>
      <c r="K15" s="1" t="s">
        <v>1292</v>
      </c>
      <c r="L15" s="1" t="s">
        <v>1291</v>
      </c>
      <c r="M15" s="1" t="s">
        <v>1293</v>
      </c>
      <c r="N15" s="1" t="s">
        <v>1294</v>
      </c>
      <c r="P15" s="1" t="s">
        <v>1270</v>
      </c>
      <c r="Q15" s="1">
        <v>2008</v>
      </c>
      <c r="R15" s="1" t="s">
        <v>1295</v>
      </c>
      <c r="S15" s="1" t="s">
        <v>27</v>
      </c>
      <c r="T15" s="6">
        <v>1</v>
      </c>
      <c r="V15" s="1">
        <v>6.5</v>
      </c>
      <c r="Y15" s="1">
        <v>1.65861215</v>
      </c>
      <c r="Z15" s="1">
        <v>1.53236577</v>
      </c>
      <c r="AA15" s="1">
        <v>1.58281695</v>
      </c>
      <c r="AB15" s="1">
        <v>1.1475867</v>
      </c>
      <c r="AD15" s="1">
        <v>0.91100000000000003</v>
      </c>
      <c r="AO15" s="1">
        <v>3.4640774999999999E-2</v>
      </c>
      <c r="AP15" s="1">
        <v>0.10031021</v>
      </c>
      <c r="AQ15" s="1">
        <v>4.0562275000000002E-2</v>
      </c>
      <c r="AU15" s="1">
        <v>2.13174E-3</v>
      </c>
      <c r="AV15" s="1">
        <v>1.89488E-3</v>
      </c>
      <c r="AW15" s="1">
        <v>0.231471435</v>
      </c>
      <c r="AY15" s="1">
        <v>3.5528999999999998E-2</v>
      </c>
      <c r="BA15" s="1">
        <v>0.95028232000000001</v>
      </c>
      <c r="BD15" s="1">
        <v>5.2227629999999997E-2</v>
      </c>
      <c r="BG15" s="1">
        <v>0.15988050000000001</v>
      </c>
      <c r="BI15" s="1">
        <v>4.1450499999999999E-3</v>
      </c>
      <c r="BJ15" s="1">
        <v>2.7831050000000001E-3</v>
      </c>
      <c r="BK15" s="1">
        <v>2.3685999999999998E-3</v>
      </c>
      <c r="BM15" s="1">
        <v>3.67133E-3</v>
      </c>
      <c r="BS15" s="1">
        <v>4.1450499999999999E-3</v>
      </c>
      <c r="CA15" s="1">
        <v>0.29465384</v>
      </c>
      <c r="CI15" s="1">
        <v>1.05000038</v>
      </c>
      <c r="CV15" s="1">
        <v>7.4018749999999994E-2</v>
      </c>
      <c r="DB15" s="1">
        <v>6.9281549999999997E-2</v>
      </c>
      <c r="DE15" s="1">
        <v>4.0266200000000002E-2</v>
      </c>
      <c r="DK15" s="1">
        <v>0.41450500000000001</v>
      </c>
      <c r="DM15" s="1">
        <v>5.8622850000000001E-3</v>
      </c>
      <c r="DT15" s="1">
        <v>4.0266199999999999E-3</v>
      </c>
      <c r="DW15" s="1">
        <v>4.0266199999999999E-3</v>
      </c>
      <c r="EC15" s="1">
        <v>8.8822499999999995E-3</v>
      </c>
      <c r="EF15" s="1">
        <v>7.6979500000000006E-2</v>
      </c>
      <c r="EL15" s="1">
        <v>5.0332750000000002E-3</v>
      </c>
      <c r="EX15" s="1">
        <v>4.0266200000000002E-2</v>
      </c>
      <c r="FE15" s="1">
        <v>0.33160400000000001</v>
      </c>
      <c r="FM15" s="1">
        <v>0.66658325500000004</v>
      </c>
    </row>
    <row r="16" spans="1:249" x14ac:dyDescent="0.2">
      <c r="A16" s="1" t="s">
        <v>1297</v>
      </c>
      <c r="B16" s="1" t="s">
        <v>55</v>
      </c>
      <c r="C16" s="1" t="s">
        <v>1288</v>
      </c>
      <c r="D16" s="1" t="s">
        <v>2</v>
      </c>
      <c r="E16" s="1">
        <v>33</v>
      </c>
      <c r="F16" s="1" t="s">
        <v>1298</v>
      </c>
      <c r="H16" s="1" t="s">
        <v>1299</v>
      </c>
      <c r="I16" s="1" t="s">
        <v>7</v>
      </c>
      <c r="J16" s="1" t="s">
        <v>1300</v>
      </c>
      <c r="K16" s="1" t="s">
        <v>1301</v>
      </c>
      <c r="L16" s="1" t="s">
        <v>1300</v>
      </c>
      <c r="M16" s="1" t="s">
        <v>1293</v>
      </c>
      <c r="N16" s="1" t="s">
        <v>1302</v>
      </c>
      <c r="P16" s="1" t="s">
        <v>1270</v>
      </c>
      <c r="Q16" s="1">
        <v>2008</v>
      </c>
      <c r="R16" s="1" t="s">
        <v>1295</v>
      </c>
      <c r="S16" s="1" t="s">
        <v>27</v>
      </c>
      <c r="T16" s="6">
        <v>1</v>
      </c>
      <c r="V16" s="1">
        <v>8.1</v>
      </c>
      <c r="Y16" s="1">
        <v>2.1004711899999999</v>
      </c>
      <c r="Z16" s="1">
        <v>2.12197266</v>
      </c>
      <c r="AA16" s="1">
        <v>1.8350392499999999</v>
      </c>
      <c r="AB16" s="1">
        <v>1.3568169000000001</v>
      </c>
      <c r="AD16" s="1">
        <v>0.91534567901234598</v>
      </c>
      <c r="AO16" s="1">
        <v>0.10476405900000001</v>
      </c>
      <c r="AP16" s="1">
        <v>0.104393344</v>
      </c>
      <c r="AQ16" s="1">
        <v>1.5495887E-2</v>
      </c>
      <c r="AU16" s="1">
        <v>3.7071500000000002E-3</v>
      </c>
      <c r="AV16" s="1">
        <v>2.2242899999999999E-3</v>
      </c>
      <c r="AW16" s="1">
        <v>0.32029775999999999</v>
      </c>
      <c r="AY16" s="1">
        <v>3.5588639999999998E-2</v>
      </c>
      <c r="BA16" s="1">
        <v>1.1677522499999999</v>
      </c>
      <c r="BD16" s="1">
        <v>4.5968660000000001E-2</v>
      </c>
      <c r="BG16" s="1">
        <v>0.23725760000000001</v>
      </c>
      <c r="BI16" s="1">
        <v>8.8971599999999994E-3</v>
      </c>
      <c r="BJ16" s="1">
        <v>3.8554359999999998E-3</v>
      </c>
      <c r="BK16" s="1">
        <v>2.9657199999999998E-3</v>
      </c>
      <c r="BM16" s="1">
        <v>4.8192950000000003E-3</v>
      </c>
      <c r="BS16" s="1">
        <v>1.0231733999999999E-2</v>
      </c>
      <c r="CA16" s="1">
        <v>0.45560873499999999</v>
      </c>
      <c r="CI16" s="1">
        <v>1.5162243500000001</v>
      </c>
      <c r="CV16" s="1">
        <v>8.8971599999999998E-2</v>
      </c>
      <c r="DB16" s="1">
        <v>2.3874045999999999E-2</v>
      </c>
      <c r="DE16" s="1">
        <v>2.6913909E-2</v>
      </c>
      <c r="DK16" s="1">
        <v>0.55051177500000004</v>
      </c>
      <c r="DM16" s="1">
        <v>5.041724E-3</v>
      </c>
      <c r="DT16" s="1">
        <v>4.893438E-3</v>
      </c>
      <c r="DW16" s="1">
        <v>4.893438E-3</v>
      </c>
      <c r="EC16" s="1">
        <v>1.038002E-2</v>
      </c>
      <c r="EF16" s="1">
        <v>9.4161610000000007E-2</v>
      </c>
      <c r="EL16" s="1">
        <v>1.112145E-2</v>
      </c>
      <c r="EX16" s="1">
        <v>4.5968660000000001E-2</v>
      </c>
      <c r="FE16" s="1">
        <v>0.29953772000000001</v>
      </c>
      <c r="FM16" s="1">
        <v>0.79073509500000005</v>
      </c>
    </row>
    <row r="17" spans="1:169" x14ac:dyDescent="0.2">
      <c r="A17" s="1" t="s">
        <v>1304</v>
      </c>
      <c r="B17" s="1" t="s">
        <v>55</v>
      </c>
      <c r="C17" s="1" t="s">
        <v>1288</v>
      </c>
      <c r="D17" s="1" t="s">
        <v>2</v>
      </c>
      <c r="E17" s="1">
        <v>33</v>
      </c>
      <c r="F17" s="1" t="s">
        <v>1305</v>
      </c>
      <c r="H17" s="1" t="s">
        <v>1306</v>
      </c>
      <c r="I17" s="1" t="s">
        <v>7</v>
      </c>
      <c r="J17" s="1" t="s">
        <v>1307</v>
      </c>
      <c r="K17" s="1" t="s">
        <v>1308</v>
      </c>
      <c r="L17" s="1" t="s">
        <v>1307</v>
      </c>
      <c r="M17" s="1" t="s">
        <v>1293</v>
      </c>
      <c r="N17" s="1" t="s">
        <v>1309</v>
      </c>
      <c r="P17" s="1" t="s">
        <v>1270</v>
      </c>
      <c r="Q17" s="1">
        <v>2008</v>
      </c>
      <c r="R17" s="1" t="s">
        <v>1295</v>
      </c>
      <c r="S17" s="1" t="s">
        <v>27</v>
      </c>
      <c r="T17" s="6">
        <v>1</v>
      </c>
      <c r="V17" s="1">
        <v>2.29</v>
      </c>
      <c r="Y17" s="1">
        <v>0.64615590840000003</v>
      </c>
      <c r="Z17" s="1">
        <v>0.53766582900000004</v>
      </c>
      <c r="AA17" s="1">
        <v>0.54663689400000004</v>
      </c>
      <c r="AB17" s="1">
        <v>0.26315124000000001</v>
      </c>
      <c r="AD17" s="1">
        <v>0.87055458515283801</v>
      </c>
      <c r="AO17" s="1">
        <v>3.6582009499999998E-2</v>
      </c>
      <c r="AP17" s="1">
        <v>2.3324768999999999E-3</v>
      </c>
      <c r="AQ17" s="1">
        <v>0</v>
      </c>
      <c r="AU17" s="1">
        <v>1.1363349E-3</v>
      </c>
      <c r="AV17" s="1">
        <v>9.9678500000000003E-4</v>
      </c>
      <c r="AW17" s="1">
        <v>0.11815889390000001</v>
      </c>
      <c r="AY17" s="1">
        <v>1.6387145400000001E-2</v>
      </c>
      <c r="BA17" s="1">
        <v>0.33723230119999997</v>
      </c>
      <c r="BD17" s="1">
        <v>1.95569217E-2</v>
      </c>
      <c r="BG17" s="1">
        <v>8.9032836200000007E-2</v>
      </c>
      <c r="BI17" s="1">
        <v>2.3125412000000001E-3</v>
      </c>
      <c r="BJ17" s="1">
        <v>1.594856E-3</v>
      </c>
      <c r="BK17" s="1">
        <v>6.4591668E-3</v>
      </c>
      <c r="BM17" s="1">
        <v>2.7710623E-3</v>
      </c>
      <c r="BS17" s="1">
        <v>1.9337629E-3</v>
      </c>
      <c r="CA17" s="1">
        <v>0.1290836575</v>
      </c>
      <c r="CI17" s="1">
        <v>0.34032233470000001</v>
      </c>
      <c r="CV17" s="1">
        <v>3.7698408699999998E-2</v>
      </c>
      <c r="DB17" s="1">
        <v>4.9639892999999999E-3</v>
      </c>
      <c r="DE17" s="1">
        <v>2.3583933099999999E-2</v>
      </c>
      <c r="DK17" s="1">
        <v>0.1588476576</v>
      </c>
      <c r="DM17" s="1">
        <v>1.7344058999999999E-3</v>
      </c>
      <c r="DT17" s="1">
        <v>9.1704220000000003E-4</v>
      </c>
      <c r="DW17" s="1">
        <v>9.1704220000000003E-4</v>
      </c>
      <c r="EC17" s="1">
        <v>2.9504836E-3</v>
      </c>
      <c r="EF17" s="1">
        <v>3.09402064E-2</v>
      </c>
      <c r="EL17" s="1">
        <v>2.2128627000000001E-3</v>
      </c>
      <c r="EX17" s="1">
        <v>1.41344113E-2</v>
      </c>
      <c r="FE17" s="1">
        <v>9.0029621200000007E-2</v>
      </c>
      <c r="FM17" s="1">
        <v>0.23934801419999999</v>
      </c>
    </row>
    <row r="18" spans="1:169" x14ac:dyDescent="0.2">
      <c r="A18" s="1" t="s">
        <v>1311</v>
      </c>
      <c r="B18" s="1" t="s">
        <v>55</v>
      </c>
      <c r="C18" s="1" t="s">
        <v>1312</v>
      </c>
      <c r="D18" s="1" t="s">
        <v>2</v>
      </c>
      <c r="E18" s="1">
        <v>11</v>
      </c>
      <c r="F18" s="1" t="s">
        <v>1313</v>
      </c>
      <c r="H18" s="1" t="s">
        <v>1314</v>
      </c>
      <c r="I18" s="1" t="s">
        <v>7</v>
      </c>
      <c r="J18" s="1" t="s">
        <v>1315</v>
      </c>
      <c r="K18" s="1" t="s">
        <v>1316</v>
      </c>
      <c r="L18" s="1" t="s">
        <v>1315</v>
      </c>
      <c r="M18" s="1" t="s">
        <v>1317</v>
      </c>
      <c r="N18" s="1" t="s">
        <v>1318</v>
      </c>
      <c r="P18" s="1" t="s">
        <v>1270</v>
      </c>
      <c r="Q18" s="1">
        <v>2010</v>
      </c>
      <c r="R18" s="1" t="s">
        <v>1319</v>
      </c>
      <c r="S18" s="1" t="s">
        <v>27</v>
      </c>
      <c r="T18" s="6">
        <v>1</v>
      </c>
      <c r="U18" s="1" t="s">
        <v>1320</v>
      </c>
      <c r="V18" s="1" t="s">
        <v>1322</v>
      </c>
      <c r="Y18" s="1">
        <v>2.642088218</v>
      </c>
      <c r="Z18" s="1">
        <v>5.2619740139999998</v>
      </c>
      <c r="AA18" s="1">
        <v>1.5228843089999999</v>
      </c>
      <c r="AD18" s="1">
        <v>0.91996444849589798</v>
      </c>
      <c r="AF18" s="1">
        <v>0.89818889000000002</v>
      </c>
      <c r="AG18" s="1">
        <v>0.62469541900000003</v>
      </c>
      <c r="AW18" s="1">
        <v>0.15238935100000001</v>
      </c>
      <c r="BA18" s="1">
        <v>2.0648252459999998</v>
      </c>
      <c r="BG18" s="1">
        <v>0.29367749100000001</v>
      </c>
      <c r="BI18" s="1">
        <v>0.17661017500000001</v>
      </c>
      <c r="BK18" s="1">
        <v>5.6515256E-2</v>
      </c>
      <c r="BP18" s="1">
        <v>3.1285230999999997E-2</v>
      </c>
      <c r="BZ18" s="1">
        <v>0.98901698000000005</v>
      </c>
      <c r="CH18" s="1">
        <v>0.144315743</v>
      </c>
      <c r="CK18" s="1">
        <v>3.8622122270000001</v>
      </c>
      <c r="CU18" s="1">
        <v>6.6607265999999998E-2</v>
      </c>
      <c r="DB18" s="1">
        <v>6.3579662999999995E-2</v>
      </c>
      <c r="DN18" s="1">
        <v>0.28863148599999999</v>
      </c>
      <c r="DT18" s="1">
        <v>0.14885714750000001</v>
      </c>
      <c r="EH18" s="1">
        <v>0.49148088699999998</v>
      </c>
      <c r="EK18" s="1">
        <v>5.0460049999999999E-2</v>
      </c>
      <c r="EX18" s="1">
        <v>0.13624213499999999</v>
      </c>
      <c r="FE18" s="1">
        <v>0.179637778</v>
      </c>
      <c r="FM18" s="1">
        <v>0.22707022499999999</v>
      </c>
    </row>
    <row r="19" spans="1:169" x14ac:dyDescent="0.2">
      <c r="A19" s="1" t="s">
        <v>1324</v>
      </c>
      <c r="B19" s="1" t="s">
        <v>55</v>
      </c>
      <c r="C19" s="1" t="s">
        <v>1312</v>
      </c>
      <c r="D19" s="1" t="s">
        <v>2</v>
      </c>
      <c r="E19" s="1">
        <v>11</v>
      </c>
      <c r="F19" s="1" t="s">
        <v>1313</v>
      </c>
      <c r="H19" s="1" t="s">
        <v>1325</v>
      </c>
      <c r="I19" s="1" t="s">
        <v>11</v>
      </c>
      <c r="J19" s="1" t="s">
        <v>1315</v>
      </c>
      <c r="K19" s="1" t="s">
        <v>1316</v>
      </c>
      <c r="L19" s="1" t="s">
        <v>1315</v>
      </c>
      <c r="M19" s="1" t="s">
        <v>1317</v>
      </c>
      <c r="N19" s="1" t="s">
        <v>1326</v>
      </c>
      <c r="P19" s="1" t="s">
        <v>1270</v>
      </c>
      <c r="Q19" s="1">
        <v>2010</v>
      </c>
      <c r="R19" s="1" t="s">
        <v>1319</v>
      </c>
      <c r="S19" s="1" t="s">
        <v>27</v>
      </c>
      <c r="T19" s="6">
        <v>1</v>
      </c>
      <c r="U19" s="1">
        <v>70.84</v>
      </c>
      <c r="V19" s="1">
        <v>8.32</v>
      </c>
      <c r="Y19" s="1">
        <v>2.0504235959999999</v>
      </c>
      <c r="Z19" s="1">
        <v>3.81358978</v>
      </c>
      <c r="AA19" s="1">
        <v>1.176460064</v>
      </c>
      <c r="AD19" s="1">
        <v>0.91581250000000003</v>
      </c>
      <c r="AF19" s="1">
        <v>0.70328538799999996</v>
      </c>
      <c r="AG19" s="1">
        <v>0.47241272000000001</v>
      </c>
      <c r="AW19" s="1">
        <v>0.13029447599999999</v>
      </c>
      <c r="BA19" s="1">
        <v>1.5048630999999999</v>
      </c>
      <c r="BG19" s="1">
        <v>0.30021066400000002</v>
      </c>
      <c r="BI19" s="1">
        <v>0.108959708</v>
      </c>
      <c r="BK19" s="1">
        <v>5.1813008000000001E-2</v>
      </c>
      <c r="BP19" s="1">
        <v>2.5906504E-2</v>
      </c>
      <c r="BZ19" s="1">
        <v>0.749002748</v>
      </c>
      <c r="CH19" s="1">
        <v>0.111245576</v>
      </c>
      <c r="CK19" s="1">
        <v>2.7659002799999999</v>
      </c>
      <c r="CU19" s="1">
        <v>5.1813008000000001E-2</v>
      </c>
      <c r="DB19" s="1">
        <v>6.1718436000000002E-2</v>
      </c>
      <c r="DN19" s="1">
        <v>0.22325310800000001</v>
      </c>
      <c r="DT19" s="1">
        <v>0.12953252000000001</v>
      </c>
      <c r="EH19" s="1">
        <v>0.40383668</v>
      </c>
      <c r="EK19" s="1">
        <v>3.047824E-2</v>
      </c>
      <c r="EX19" s="1">
        <v>8.9148852000000001E-2</v>
      </c>
      <c r="FE19" s="1">
        <v>0.12724665199999999</v>
      </c>
      <c r="FM19" s="1">
        <v>0.17220205599999999</v>
      </c>
    </row>
    <row r="20" spans="1:169" x14ac:dyDescent="0.2">
      <c r="A20" s="1" t="s">
        <v>1327</v>
      </c>
      <c r="B20" s="1" t="s">
        <v>55</v>
      </c>
      <c r="C20" s="1" t="s">
        <v>1312</v>
      </c>
      <c r="D20" s="1" t="s">
        <v>2</v>
      </c>
      <c r="E20" s="1">
        <v>11</v>
      </c>
      <c r="F20" s="1" t="s">
        <v>1313</v>
      </c>
      <c r="H20" s="1" t="s">
        <v>1328</v>
      </c>
      <c r="I20" s="1" t="s">
        <v>11</v>
      </c>
      <c r="J20" s="1" t="s">
        <v>1315</v>
      </c>
      <c r="K20" s="1" t="s">
        <v>1316</v>
      </c>
      <c r="L20" s="1" t="s">
        <v>1315</v>
      </c>
      <c r="M20" s="1" t="s">
        <v>1317</v>
      </c>
      <c r="N20" s="1" t="s">
        <v>1329</v>
      </c>
      <c r="P20" s="1" t="s">
        <v>1270</v>
      </c>
      <c r="Q20" s="1">
        <v>2010</v>
      </c>
      <c r="R20" s="1" t="s">
        <v>1319</v>
      </c>
      <c r="S20" s="1" t="s">
        <v>27</v>
      </c>
      <c r="T20" s="6">
        <v>1</v>
      </c>
      <c r="U20" s="1" t="s">
        <v>1330</v>
      </c>
      <c r="V20" s="1" t="s">
        <v>1333</v>
      </c>
      <c r="Y20" s="1">
        <v>1.88696639</v>
      </c>
      <c r="Z20" s="1">
        <v>3.5207853999999998</v>
      </c>
      <c r="AA20" s="1">
        <v>0.96821598499999995</v>
      </c>
      <c r="AD20" s="1">
        <v>0.91501257861635199</v>
      </c>
      <c r="AF20" s="1">
        <v>0.57831082499999997</v>
      </c>
      <c r="AG20" s="1">
        <v>0.39790694500000001</v>
      </c>
      <c r="AW20" s="1">
        <v>0.13021086500000001</v>
      </c>
      <c r="BA20" s="1">
        <v>1.4665089600000001</v>
      </c>
      <c r="BG20" s="1">
        <v>0.18040387999999999</v>
      </c>
      <c r="BI20" s="1">
        <v>0.10038603</v>
      </c>
      <c r="BK20" s="1">
        <v>7.419837E-2</v>
      </c>
      <c r="BP20" s="1">
        <v>2.5460225E-2</v>
      </c>
      <c r="BZ20" s="1">
        <v>0.66051097999999997</v>
      </c>
      <c r="CH20" s="1">
        <v>0.18258618500000001</v>
      </c>
      <c r="CK20" s="1">
        <v>2.4740064350000002</v>
      </c>
      <c r="CU20" s="1">
        <v>4.4373534999999999E-2</v>
      </c>
      <c r="DB20" s="1">
        <v>6.4741715000000005E-2</v>
      </c>
      <c r="DN20" s="1">
        <v>0.201499495</v>
      </c>
      <c r="DT20" s="1">
        <v>8.6564765000000002E-2</v>
      </c>
      <c r="EH20" s="1">
        <v>0.34480419000000001</v>
      </c>
      <c r="EK20" s="1">
        <v>4.2191230000000003E-2</v>
      </c>
      <c r="EX20" s="1">
        <v>6.6924020000000001E-2</v>
      </c>
      <c r="FE20" s="1">
        <v>9.6748854999999995E-2</v>
      </c>
      <c r="FM20" s="1">
        <v>0.136030345</v>
      </c>
    </row>
    <row r="21" spans="1:169" x14ac:dyDescent="0.2">
      <c r="A21" s="1" t="s">
        <v>1335</v>
      </c>
      <c r="B21" s="1" t="s">
        <v>55</v>
      </c>
      <c r="C21" s="1" t="s">
        <v>1312</v>
      </c>
      <c r="D21" s="1" t="s">
        <v>2</v>
      </c>
      <c r="E21" s="1">
        <v>11</v>
      </c>
      <c r="F21" s="1" t="s">
        <v>1313</v>
      </c>
      <c r="H21" s="1" t="s">
        <v>1336</v>
      </c>
      <c r="I21" s="1" t="s">
        <v>11</v>
      </c>
      <c r="J21" s="1" t="s">
        <v>1315</v>
      </c>
      <c r="K21" s="1" t="s">
        <v>1316</v>
      </c>
      <c r="L21" s="1" t="s">
        <v>1315</v>
      </c>
      <c r="M21" s="1" t="s">
        <v>1317</v>
      </c>
      <c r="N21" s="1" t="s">
        <v>1337</v>
      </c>
      <c r="P21" s="1" t="s">
        <v>1270</v>
      </c>
      <c r="Q21" s="1">
        <v>2010</v>
      </c>
      <c r="R21" s="1" t="s">
        <v>1319</v>
      </c>
      <c r="S21" s="1" t="s">
        <v>27</v>
      </c>
      <c r="T21" s="6">
        <v>1</v>
      </c>
      <c r="U21" s="1">
        <v>72.38</v>
      </c>
      <c r="V21" s="1">
        <v>5.73</v>
      </c>
      <c r="Y21" s="1">
        <v>1.328348877</v>
      </c>
      <c r="Z21" s="1">
        <v>2.6353650850000001</v>
      </c>
      <c r="AA21" s="1">
        <v>0.78514628099999995</v>
      </c>
      <c r="AD21" s="1">
        <v>0.90804363001745203</v>
      </c>
      <c r="AF21" s="1">
        <v>0.47868428000000002</v>
      </c>
      <c r="AG21" s="1">
        <v>0.30594169199999999</v>
      </c>
      <c r="AW21" s="1">
        <v>7.0241714999999996E-2</v>
      </c>
      <c r="BA21" s="1">
        <v>1.0562272699999999</v>
      </c>
      <c r="BG21" s="1">
        <v>0.122792924</v>
      </c>
      <c r="BI21" s="1">
        <v>6.8680788000000006E-2</v>
      </c>
      <c r="BK21" s="1">
        <v>3.8502865999999997E-2</v>
      </c>
      <c r="BP21" s="1">
        <v>1.4568652E-2</v>
      </c>
      <c r="BZ21" s="1">
        <v>0.45370944800000002</v>
      </c>
      <c r="CH21" s="1">
        <v>0.10041963700000001</v>
      </c>
      <c r="CK21" s="1">
        <v>1.959483694</v>
      </c>
      <c r="CU21" s="1">
        <v>3.0177921999999999E-2</v>
      </c>
      <c r="DB21" s="1">
        <v>4.6307501000000001E-2</v>
      </c>
      <c r="DN21" s="1">
        <v>0.13684126699999999</v>
      </c>
      <c r="DT21" s="1">
        <v>9.4175929000000005E-2</v>
      </c>
      <c r="EH21" s="1">
        <v>0.240382758</v>
      </c>
      <c r="EK21" s="1">
        <v>1.9251432999999998E-2</v>
      </c>
      <c r="EX21" s="1">
        <v>5.59332175E-2</v>
      </c>
      <c r="FE21" s="1">
        <v>9.4175929000000005E-2</v>
      </c>
      <c r="FM21" s="1">
        <v>0.143605284</v>
      </c>
    </row>
    <row r="22" spans="1:169" x14ac:dyDescent="0.2">
      <c r="A22" s="1" t="s">
        <v>1338</v>
      </c>
      <c r="B22" s="1" t="s">
        <v>55</v>
      </c>
      <c r="C22" s="1" t="s">
        <v>1339</v>
      </c>
      <c r="D22" s="1" t="s">
        <v>2</v>
      </c>
      <c r="E22" s="1">
        <v>13</v>
      </c>
      <c r="F22" s="1" t="s">
        <v>1340</v>
      </c>
      <c r="H22" s="1" t="s">
        <v>1341</v>
      </c>
      <c r="I22" s="1" t="s">
        <v>7</v>
      </c>
      <c r="J22" s="1" t="s">
        <v>1268</v>
      </c>
      <c r="K22" s="1" t="s">
        <v>1269</v>
      </c>
      <c r="L22" s="1" t="s">
        <v>1268</v>
      </c>
      <c r="O22" s="1">
        <v>1</v>
      </c>
      <c r="P22" s="1" t="s">
        <v>1270</v>
      </c>
      <c r="Q22" s="1">
        <v>2008</v>
      </c>
      <c r="R22" s="1" t="s">
        <v>1342</v>
      </c>
      <c r="S22" s="1" t="s">
        <v>27</v>
      </c>
      <c r="T22" s="6">
        <v>1</v>
      </c>
      <c r="U22" s="1">
        <v>83.57</v>
      </c>
      <c r="V22" s="1">
        <v>1.84</v>
      </c>
      <c r="Y22" s="1">
        <v>0.704554444</v>
      </c>
      <c r="Z22" s="1">
        <v>0.54576609600000003</v>
      </c>
      <c r="AA22" s="1">
        <v>0.24471345999999999</v>
      </c>
      <c r="AD22" s="1">
        <v>0.85528260869565198</v>
      </c>
      <c r="AF22" s="1">
        <v>6.9715795999999997E-2</v>
      </c>
      <c r="AG22" s="1">
        <v>0.17484029200000001</v>
      </c>
      <c r="AU22" s="1">
        <v>1.731092E-3</v>
      </c>
      <c r="AV22" s="1">
        <v>0</v>
      </c>
      <c r="AW22" s="1">
        <v>7.5066443999999996E-2</v>
      </c>
      <c r="AY22" s="1">
        <v>2.832696E-3</v>
      </c>
      <c r="BA22" s="1">
        <v>0.44363166799999998</v>
      </c>
      <c r="BD22" s="1">
        <v>2.6753240000000002E-3</v>
      </c>
      <c r="BG22" s="1">
        <v>0.175784524</v>
      </c>
      <c r="BI22" s="1">
        <v>2.3605800000000001E-3</v>
      </c>
      <c r="BJ22" s="1">
        <v>4.7211600000000002E-4</v>
      </c>
      <c r="BQ22" s="1">
        <v>4.7211600000000002E-4</v>
      </c>
      <c r="BZ22" s="1">
        <v>2.5809008000000001E-2</v>
      </c>
      <c r="CK22" s="1">
        <v>0.48801057199999998</v>
      </c>
      <c r="CM22" s="1">
        <v>1.4478224E-2</v>
      </c>
      <c r="CV22" s="1">
        <v>1.652406E-2</v>
      </c>
      <c r="DB22" s="1">
        <v>4.7211600000000002E-4</v>
      </c>
      <c r="DN22" s="1">
        <v>0.123851764</v>
      </c>
      <c r="DT22" s="1">
        <v>7.8685999999999999E-3</v>
      </c>
      <c r="ED22" s="1">
        <v>4.0916720000000002E-3</v>
      </c>
      <c r="EH22" s="1">
        <v>6.9243680000000002E-3</v>
      </c>
      <c r="ET22" s="1">
        <v>1.101604E-3</v>
      </c>
      <c r="EX22" s="1">
        <v>3.3205492000000003E-2</v>
      </c>
      <c r="EY22" s="1">
        <v>5.8227640000000002E-3</v>
      </c>
      <c r="FE22" s="1">
        <v>9.1275760000000001E-3</v>
      </c>
      <c r="FJ22" s="1">
        <v>1.0543924E-2</v>
      </c>
      <c r="FM22" s="1">
        <v>4.2018324000000003E-2</v>
      </c>
    </row>
    <row r="23" spans="1:169" x14ac:dyDescent="0.2">
      <c r="A23" s="1" t="s">
        <v>1343</v>
      </c>
      <c r="B23" s="1" t="s">
        <v>55</v>
      </c>
      <c r="C23" s="1" t="s">
        <v>1344</v>
      </c>
      <c r="D23" s="1" t="s">
        <v>2</v>
      </c>
      <c r="E23" s="1">
        <v>13</v>
      </c>
      <c r="F23" s="1" t="s">
        <v>1266</v>
      </c>
      <c r="G23" s="1" t="s">
        <v>1345</v>
      </c>
      <c r="H23" s="1" t="s">
        <v>1346</v>
      </c>
      <c r="I23" s="1" t="s">
        <v>7</v>
      </c>
      <c r="J23" s="1" t="s">
        <v>1268</v>
      </c>
      <c r="K23" s="1" t="s">
        <v>1269</v>
      </c>
      <c r="L23" s="1" t="s">
        <v>1268</v>
      </c>
      <c r="Q23" s="1">
        <v>2010</v>
      </c>
      <c r="R23" s="1" t="s">
        <v>1347</v>
      </c>
      <c r="S23" s="1" t="s">
        <v>27</v>
      </c>
      <c r="T23" s="6">
        <v>1</v>
      </c>
      <c r="U23" s="1">
        <v>82.3</v>
      </c>
      <c r="V23" s="1">
        <v>3.2</v>
      </c>
    </row>
    <row r="24" spans="1:169" x14ac:dyDescent="0.2">
      <c r="A24" s="1" t="s">
        <v>1348</v>
      </c>
      <c r="B24" s="1" t="s">
        <v>55</v>
      </c>
      <c r="C24" s="1" t="s">
        <v>1344</v>
      </c>
      <c r="D24" s="1" t="s">
        <v>2</v>
      </c>
      <c r="E24" s="1">
        <v>13</v>
      </c>
      <c r="F24" s="1" t="s">
        <v>1266</v>
      </c>
      <c r="G24" s="1" t="s">
        <v>1345</v>
      </c>
      <c r="H24" s="1" t="s">
        <v>1349</v>
      </c>
      <c r="I24" s="1" t="s">
        <v>7</v>
      </c>
      <c r="J24" s="1" t="s">
        <v>1268</v>
      </c>
      <c r="K24" s="1" t="s">
        <v>1269</v>
      </c>
      <c r="L24" s="1" t="s">
        <v>1268</v>
      </c>
      <c r="P24" s="1" t="s">
        <v>1270</v>
      </c>
      <c r="Q24" s="1">
        <v>2010</v>
      </c>
      <c r="R24" s="1" t="s">
        <v>1347</v>
      </c>
      <c r="S24" s="1" t="s">
        <v>27</v>
      </c>
      <c r="T24" s="6">
        <v>1</v>
      </c>
      <c r="U24" s="1">
        <v>82.7</v>
      </c>
      <c r="V24" s="1">
        <v>2.9</v>
      </c>
      <c r="Y24" s="1">
        <v>0.9763887</v>
      </c>
      <c r="Z24" s="1">
        <v>0.98920220000000003</v>
      </c>
      <c r="AA24" s="1">
        <v>0.61248530000000001</v>
      </c>
      <c r="AD24" s="1">
        <v>0.88368965517241405</v>
      </c>
      <c r="AF24" s="1">
        <v>9.9945300000000001E-2</v>
      </c>
      <c r="AG24" s="1">
        <v>0.51254</v>
      </c>
      <c r="AW24" s="1">
        <v>9.3026010000000006E-2</v>
      </c>
      <c r="AY24" s="1">
        <v>5.3816699999999999E-3</v>
      </c>
      <c r="BA24" s="1">
        <v>0.68962257000000005</v>
      </c>
      <c r="BD24" s="1">
        <v>2.2039220000000002E-2</v>
      </c>
      <c r="BG24" s="1">
        <v>0.16555042</v>
      </c>
      <c r="CA24" s="1">
        <v>1.9989059999999999E-2</v>
      </c>
      <c r="CL24" s="1">
        <v>2.9727320000000002E-2</v>
      </c>
      <c r="CQ24" s="1">
        <v>0.90488937000000003</v>
      </c>
      <c r="CT24" s="1">
        <v>3.510899E-2</v>
      </c>
      <c r="DN24" s="1">
        <v>0.45923584000000001</v>
      </c>
      <c r="EH24" s="1">
        <v>1.9220250000000001E-2</v>
      </c>
      <c r="EX24" s="1">
        <v>3.9721850000000003E-2</v>
      </c>
      <c r="FA24" s="1">
        <v>1.306977E-2</v>
      </c>
      <c r="FE24" s="1">
        <v>7.1755600000000001E-3</v>
      </c>
      <c r="FM24" s="1">
        <v>7.4318300000000004E-2</v>
      </c>
    </row>
    <row r="25" spans="1:169" x14ac:dyDescent="0.2">
      <c r="A25" s="1" t="s">
        <v>1350</v>
      </c>
      <c r="B25" s="1" t="s">
        <v>55</v>
      </c>
      <c r="C25" s="1" t="s">
        <v>1344</v>
      </c>
      <c r="D25" s="1" t="s">
        <v>2</v>
      </c>
      <c r="E25" s="1">
        <v>13</v>
      </c>
      <c r="F25" s="1" t="s">
        <v>1266</v>
      </c>
      <c r="G25" s="1" t="s">
        <v>1345</v>
      </c>
      <c r="H25" s="1" t="s">
        <v>1349</v>
      </c>
      <c r="I25" s="1" t="s">
        <v>7</v>
      </c>
      <c r="J25" s="1" t="s">
        <v>1268</v>
      </c>
      <c r="K25" s="1" t="s">
        <v>1269</v>
      </c>
      <c r="L25" s="1" t="s">
        <v>1268</v>
      </c>
      <c r="P25" s="1" t="s">
        <v>1270</v>
      </c>
      <c r="Q25" s="1">
        <v>2010</v>
      </c>
      <c r="R25" s="1" t="s">
        <v>1347</v>
      </c>
      <c r="S25" s="1" t="s">
        <v>27</v>
      </c>
      <c r="T25" s="6">
        <v>1</v>
      </c>
      <c r="U25" s="1">
        <v>82.2</v>
      </c>
      <c r="V25" s="1">
        <v>1.7</v>
      </c>
      <c r="Y25" s="1">
        <v>0.54260560000000002</v>
      </c>
      <c r="Z25" s="1">
        <v>0.55703659999999999</v>
      </c>
      <c r="AA25" s="1">
        <v>0.34345779999999998</v>
      </c>
      <c r="AD25" s="1">
        <v>0.84888235294117698</v>
      </c>
      <c r="AF25" s="1">
        <v>8.0813599999999999E-2</v>
      </c>
      <c r="AG25" s="1">
        <v>0.26264419999999999</v>
      </c>
      <c r="AW25" s="1">
        <v>4.5169029999999999E-2</v>
      </c>
      <c r="AY25" s="1">
        <v>3.0305100000000001E-3</v>
      </c>
      <c r="BA25" s="1">
        <v>0.38213288000000001</v>
      </c>
      <c r="BD25" s="1">
        <v>3.8963700000000001E-3</v>
      </c>
      <c r="BG25" s="1">
        <v>0.10779957</v>
      </c>
      <c r="CA25" s="1">
        <v>1.342083E-2</v>
      </c>
      <c r="CL25" s="1">
        <v>1.8471680000000001E-2</v>
      </c>
      <c r="CQ25" s="1">
        <v>0.50335328000000001</v>
      </c>
      <c r="CT25" s="1">
        <v>2.2223739999999999E-2</v>
      </c>
      <c r="DN25" s="1">
        <v>0.22050568000000001</v>
      </c>
      <c r="EH25" s="1">
        <v>8.6586000000000007E-3</v>
      </c>
      <c r="EX25" s="1">
        <v>3.2181130000000002E-2</v>
      </c>
      <c r="FA25" s="1">
        <v>1.039032E-2</v>
      </c>
      <c r="FE25" s="1">
        <v>5.7723999999999996E-3</v>
      </c>
      <c r="FM25" s="1">
        <v>6.6238290000000005E-2</v>
      </c>
    </row>
    <row r="26" spans="1:169" x14ac:dyDescent="0.2">
      <c r="A26" s="1" t="s">
        <v>1351</v>
      </c>
      <c r="B26" s="1" t="s">
        <v>55</v>
      </c>
      <c r="C26" s="1" t="s">
        <v>1344</v>
      </c>
      <c r="D26" s="1" t="s">
        <v>2</v>
      </c>
      <c r="E26" s="1">
        <v>13</v>
      </c>
      <c r="F26" s="1" t="s">
        <v>1266</v>
      </c>
      <c r="G26" s="1" t="s">
        <v>1345</v>
      </c>
      <c r="H26" s="1" t="s">
        <v>1352</v>
      </c>
      <c r="I26" s="1" t="s">
        <v>7</v>
      </c>
      <c r="J26" s="1" t="s">
        <v>1268</v>
      </c>
      <c r="K26" s="1" t="s">
        <v>1269</v>
      </c>
      <c r="L26" s="1" t="s">
        <v>1268</v>
      </c>
      <c r="Q26" s="1">
        <v>2010</v>
      </c>
      <c r="R26" s="1" t="s">
        <v>1347</v>
      </c>
      <c r="S26" s="1" t="s">
        <v>27</v>
      </c>
      <c r="T26" s="6">
        <v>1</v>
      </c>
      <c r="U26" s="1">
        <v>83.3</v>
      </c>
      <c r="V26" s="1">
        <v>1.8</v>
      </c>
    </row>
    <row r="27" spans="1:169" x14ac:dyDescent="0.2">
      <c r="A27" s="1" t="s">
        <v>1353</v>
      </c>
      <c r="B27" s="1" t="s">
        <v>55</v>
      </c>
      <c r="C27" s="1" t="s">
        <v>1344</v>
      </c>
      <c r="D27" s="1" t="s">
        <v>2</v>
      </c>
      <c r="E27" s="1">
        <v>13</v>
      </c>
      <c r="F27" s="1" t="s">
        <v>1266</v>
      </c>
      <c r="G27" s="1" t="s">
        <v>1345</v>
      </c>
      <c r="H27" s="1" t="s">
        <v>1349</v>
      </c>
      <c r="I27" s="1" t="s">
        <v>7</v>
      </c>
      <c r="J27" s="1" t="s">
        <v>1268</v>
      </c>
      <c r="K27" s="1" t="s">
        <v>1269</v>
      </c>
      <c r="L27" s="1" t="s">
        <v>1268</v>
      </c>
      <c r="Q27" s="1">
        <v>2010</v>
      </c>
      <c r="R27" s="1" t="s">
        <v>1347</v>
      </c>
      <c r="S27" s="1" t="s">
        <v>27</v>
      </c>
      <c r="T27" s="6">
        <v>1</v>
      </c>
      <c r="U27" s="1">
        <v>83.3</v>
      </c>
      <c r="V27" s="1">
        <v>2</v>
      </c>
    </row>
    <row r="28" spans="1:169" x14ac:dyDescent="0.2">
      <c r="A28" s="1" t="s">
        <v>1354</v>
      </c>
      <c r="B28" s="1" t="s">
        <v>55</v>
      </c>
      <c r="C28" s="1" t="s">
        <v>1344</v>
      </c>
      <c r="D28" s="1" t="s">
        <v>2</v>
      </c>
      <c r="E28" s="1">
        <v>13</v>
      </c>
      <c r="F28" s="1" t="s">
        <v>1266</v>
      </c>
      <c r="G28" s="1" t="s">
        <v>1345</v>
      </c>
      <c r="H28" s="1" t="s">
        <v>1349</v>
      </c>
      <c r="I28" s="1" t="s">
        <v>7</v>
      </c>
      <c r="J28" s="1" t="s">
        <v>1268</v>
      </c>
      <c r="K28" s="1" t="s">
        <v>1269</v>
      </c>
      <c r="L28" s="1" t="s">
        <v>1268</v>
      </c>
      <c r="Q28" s="1">
        <v>2010</v>
      </c>
      <c r="R28" s="1" t="s">
        <v>1347</v>
      </c>
      <c r="S28" s="1" t="s">
        <v>27</v>
      </c>
      <c r="T28" s="6">
        <v>1</v>
      </c>
      <c r="U28" s="1">
        <v>82.1</v>
      </c>
      <c r="V28" s="1">
        <v>1.4</v>
      </c>
    </row>
    <row r="29" spans="1:169" x14ac:dyDescent="0.2">
      <c r="A29" s="1" t="s">
        <v>1355</v>
      </c>
      <c r="B29" s="1" t="s">
        <v>55</v>
      </c>
      <c r="C29" s="1" t="s">
        <v>1344</v>
      </c>
      <c r="D29" s="1" t="s">
        <v>2</v>
      </c>
      <c r="E29" s="1">
        <v>13</v>
      </c>
      <c r="F29" s="1" t="s">
        <v>1266</v>
      </c>
      <c r="G29" s="1" t="s">
        <v>1345</v>
      </c>
      <c r="H29" s="1" t="s">
        <v>1356</v>
      </c>
      <c r="I29" s="1" t="s">
        <v>7</v>
      </c>
      <c r="J29" s="1" t="s">
        <v>1268</v>
      </c>
      <c r="K29" s="1" t="s">
        <v>1269</v>
      </c>
      <c r="L29" s="1" t="s">
        <v>1268</v>
      </c>
      <c r="P29" s="1" t="s">
        <v>1270</v>
      </c>
      <c r="Q29" s="1">
        <v>2010</v>
      </c>
      <c r="R29" s="1" t="s">
        <v>1347</v>
      </c>
      <c r="S29" s="1" t="s">
        <v>27</v>
      </c>
      <c r="T29" s="6">
        <v>1</v>
      </c>
      <c r="U29" s="1">
        <v>79.900000000000006</v>
      </c>
      <c r="V29" s="1">
        <v>1.9</v>
      </c>
      <c r="Y29" s="1">
        <v>0.62417509999999998</v>
      </c>
      <c r="Z29" s="1">
        <v>0.60624840000000002</v>
      </c>
      <c r="AA29" s="1">
        <v>0.3943874</v>
      </c>
      <c r="AD29" s="1">
        <v>0.85773684210526302</v>
      </c>
      <c r="AF29" s="1">
        <v>9.4522599999999998E-2</v>
      </c>
      <c r="AG29" s="1">
        <v>0.29986479999999999</v>
      </c>
      <c r="AW29" s="1">
        <v>5.4269009999999999E-2</v>
      </c>
      <c r="AY29" s="1">
        <v>4.0742499999999997E-3</v>
      </c>
      <c r="BA29" s="1">
        <v>0.44034494000000002</v>
      </c>
      <c r="BD29" s="1">
        <v>5.7039500000000002E-3</v>
      </c>
      <c r="BG29" s="1">
        <v>0.12027185999999999</v>
      </c>
      <c r="CA29" s="1">
        <v>1.548215E-2</v>
      </c>
      <c r="CL29" s="1">
        <v>2.004531E-2</v>
      </c>
      <c r="CQ29" s="1">
        <v>0.55360909000000003</v>
      </c>
      <c r="CT29" s="1">
        <v>1.6459970000000001E-2</v>
      </c>
      <c r="DN29" s="1">
        <v>0.26091497000000002</v>
      </c>
      <c r="EH29" s="1">
        <v>1.939343E-2</v>
      </c>
      <c r="EX29" s="1">
        <v>3.0149450000000001E-2</v>
      </c>
      <c r="FA29" s="1">
        <v>8.6374099999999999E-3</v>
      </c>
      <c r="FE29" s="1">
        <v>5.54098E-3</v>
      </c>
      <c r="FM29" s="1">
        <v>7.0077100000000003E-2</v>
      </c>
    </row>
    <row r="30" spans="1:169" x14ac:dyDescent="0.2">
      <c r="A30" s="1" t="s">
        <v>1357</v>
      </c>
      <c r="B30" s="1" t="s">
        <v>55</v>
      </c>
      <c r="C30" s="1" t="s">
        <v>1344</v>
      </c>
      <c r="D30" s="1" t="s">
        <v>2</v>
      </c>
      <c r="E30" s="1">
        <v>13</v>
      </c>
      <c r="F30" s="1" t="s">
        <v>1266</v>
      </c>
      <c r="G30" s="1" t="s">
        <v>1345</v>
      </c>
      <c r="H30" s="1" t="s">
        <v>1356</v>
      </c>
      <c r="I30" s="1" t="s">
        <v>7</v>
      </c>
      <c r="J30" s="1" t="s">
        <v>1268</v>
      </c>
      <c r="K30" s="1" t="s">
        <v>1269</v>
      </c>
      <c r="L30" s="1" t="s">
        <v>1268</v>
      </c>
      <c r="Q30" s="1">
        <v>2010</v>
      </c>
      <c r="R30" s="1" t="s">
        <v>1347</v>
      </c>
      <c r="S30" s="1" t="s">
        <v>27</v>
      </c>
      <c r="T30" s="6">
        <v>1</v>
      </c>
      <c r="U30" s="1">
        <v>80</v>
      </c>
      <c r="V30" s="1">
        <v>1.8</v>
      </c>
    </row>
    <row r="31" spans="1:169" x14ac:dyDescent="0.2">
      <c r="A31" s="1" t="s">
        <v>1358</v>
      </c>
      <c r="B31" s="1" t="s">
        <v>55</v>
      </c>
      <c r="C31" s="1" t="s">
        <v>1344</v>
      </c>
      <c r="D31" s="1" t="s">
        <v>2</v>
      </c>
      <c r="E31" s="1">
        <v>13</v>
      </c>
      <c r="F31" s="1" t="s">
        <v>1266</v>
      </c>
      <c r="G31" s="1" t="s">
        <v>1345</v>
      </c>
      <c r="H31" s="1" t="s">
        <v>1356</v>
      </c>
      <c r="I31" s="1" t="s">
        <v>7</v>
      </c>
      <c r="J31" s="1" t="s">
        <v>1268</v>
      </c>
      <c r="K31" s="1" t="s">
        <v>1269</v>
      </c>
      <c r="L31" s="1" t="s">
        <v>1268</v>
      </c>
      <c r="Q31" s="1">
        <v>2010</v>
      </c>
      <c r="R31" s="1" t="s">
        <v>1347</v>
      </c>
      <c r="S31" s="1" t="s">
        <v>27</v>
      </c>
      <c r="T31" s="6">
        <v>1</v>
      </c>
      <c r="U31" s="1">
        <v>80.400000000000006</v>
      </c>
      <c r="V31" s="1">
        <v>2.2999999999999998</v>
      </c>
    </row>
    <row r="32" spans="1:169" x14ac:dyDescent="0.2">
      <c r="A32" s="1" t="s">
        <v>1359</v>
      </c>
      <c r="B32" s="1" t="s">
        <v>55</v>
      </c>
      <c r="C32" s="1" t="s">
        <v>236</v>
      </c>
      <c r="D32" s="1" t="s">
        <v>2</v>
      </c>
      <c r="E32" s="1">
        <v>13</v>
      </c>
      <c r="F32" s="1" t="s">
        <v>1360</v>
      </c>
      <c r="H32" s="1" t="s">
        <v>1361</v>
      </c>
      <c r="I32" s="1" t="s">
        <v>7</v>
      </c>
      <c r="J32" s="1" t="s">
        <v>1362</v>
      </c>
      <c r="K32" s="1" t="s">
        <v>1363</v>
      </c>
      <c r="L32" s="1" t="s">
        <v>1362</v>
      </c>
      <c r="N32" s="1" t="s">
        <v>1364</v>
      </c>
      <c r="Q32" s="1">
        <v>1998</v>
      </c>
      <c r="R32" s="1" t="s">
        <v>1365</v>
      </c>
      <c r="S32" s="1" t="s">
        <v>27</v>
      </c>
      <c r="T32" s="6">
        <v>1</v>
      </c>
      <c r="U32" s="1">
        <v>78.8</v>
      </c>
      <c r="W32" s="1">
        <v>5.3</v>
      </c>
    </row>
    <row r="33" spans="1:169" x14ac:dyDescent="0.2">
      <c r="A33" s="1" t="s">
        <v>1366</v>
      </c>
      <c r="B33" s="1" t="s">
        <v>55</v>
      </c>
      <c r="C33" s="1" t="s">
        <v>236</v>
      </c>
      <c r="D33" s="1" t="s">
        <v>2</v>
      </c>
      <c r="E33" s="1">
        <v>13</v>
      </c>
      <c r="F33" s="1" t="s">
        <v>1360</v>
      </c>
      <c r="H33" s="1" t="s">
        <v>1361</v>
      </c>
      <c r="I33" s="1" t="s">
        <v>7</v>
      </c>
      <c r="J33" s="1" t="s">
        <v>1362</v>
      </c>
      <c r="K33" s="1" t="s">
        <v>1363</v>
      </c>
      <c r="L33" s="1" t="s">
        <v>1362</v>
      </c>
      <c r="N33" s="1" t="s">
        <v>1364</v>
      </c>
      <c r="Q33" s="1">
        <v>1998</v>
      </c>
      <c r="R33" s="1" t="s">
        <v>1365</v>
      </c>
      <c r="S33" s="1" t="s">
        <v>27</v>
      </c>
      <c r="T33" s="6">
        <v>1</v>
      </c>
      <c r="U33" s="1">
        <v>78.3</v>
      </c>
      <c r="W33" s="1">
        <v>5.7</v>
      </c>
    </row>
    <row r="34" spans="1:169" x14ac:dyDescent="0.2">
      <c r="A34" s="1" t="s">
        <v>1367</v>
      </c>
      <c r="B34" s="1" t="s">
        <v>55</v>
      </c>
      <c r="C34" s="1" t="s">
        <v>236</v>
      </c>
      <c r="D34" s="1" t="s">
        <v>2</v>
      </c>
      <c r="E34" s="1">
        <v>13</v>
      </c>
      <c r="F34" s="1" t="s">
        <v>1360</v>
      </c>
      <c r="H34" s="1" t="s">
        <v>1361</v>
      </c>
      <c r="I34" s="1" t="s">
        <v>7</v>
      </c>
      <c r="J34" s="1" t="s">
        <v>1362</v>
      </c>
      <c r="K34" s="1" t="s">
        <v>1363</v>
      </c>
      <c r="L34" s="1" t="s">
        <v>1362</v>
      </c>
      <c r="N34" s="1" t="s">
        <v>1364</v>
      </c>
      <c r="Q34" s="1">
        <v>1998</v>
      </c>
      <c r="R34" s="1" t="s">
        <v>1365</v>
      </c>
      <c r="S34" s="1" t="s">
        <v>27</v>
      </c>
      <c r="T34" s="6">
        <v>1</v>
      </c>
      <c r="U34" s="1">
        <v>78.099999999999994</v>
      </c>
      <c r="W34" s="1">
        <v>5.6</v>
      </c>
    </row>
    <row r="35" spans="1:169" x14ac:dyDescent="0.2">
      <c r="A35" s="1" t="s">
        <v>1368</v>
      </c>
      <c r="B35" s="1" t="s">
        <v>55</v>
      </c>
      <c r="C35" s="1" t="s">
        <v>236</v>
      </c>
      <c r="D35" s="1" t="s">
        <v>2</v>
      </c>
      <c r="E35" s="1">
        <v>13</v>
      </c>
      <c r="F35" s="1" t="s">
        <v>1360</v>
      </c>
      <c r="H35" s="1" t="s">
        <v>1369</v>
      </c>
      <c r="I35" s="1" t="s">
        <v>11</v>
      </c>
      <c r="J35" s="1" t="s">
        <v>1362</v>
      </c>
      <c r="K35" s="1" t="s">
        <v>1363</v>
      </c>
      <c r="L35" s="1" t="s">
        <v>1362</v>
      </c>
      <c r="N35" s="1" t="s">
        <v>1370</v>
      </c>
      <c r="Q35" s="1">
        <v>1998</v>
      </c>
      <c r="R35" s="1" t="s">
        <v>1365</v>
      </c>
      <c r="S35" s="1" t="s">
        <v>27</v>
      </c>
      <c r="T35" s="6">
        <v>1</v>
      </c>
      <c r="U35" s="1">
        <v>76.3</v>
      </c>
      <c r="W35" s="1">
        <v>4.5999999999999996</v>
      </c>
    </row>
    <row r="36" spans="1:169" x14ac:dyDescent="0.2">
      <c r="A36" s="1" t="s">
        <v>1371</v>
      </c>
      <c r="B36" s="1" t="s">
        <v>55</v>
      </c>
      <c r="C36" s="1" t="s">
        <v>236</v>
      </c>
      <c r="D36" s="1" t="s">
        <v>2</v>
      </c>
      <c r="E36" s="1">
        <v>13</v>
      </c>
      <c r="F36" s="1" t="s">
        <v>1360</v>
      </c>
      <c r="H36" s="1" t="s">
        <v>1372</v>
      </c>
      <c r="I36" s="1" t="s">
        <v>11</v>
      </c>
      <c r="J36" s="1" t="s">
        <v>1362</v>
      </c>
      <c r="K36" s="1" t="s">
        <v>1363</v>
      </c>
      <c r="L36" s="1" t="s">
        <v>1362</v>
      </c>
      <c r="N36" s="1" t="s">
        <v>1364</v>
      </c>
      <c r="Q36" s="1">
        <v>1998</v>
      </c>
      <c r="R36" s="1" t="s">
        <v>1365</v>
      </c>
      <c r="S36" s="1" t="s">
        <v>27</v>
      </c>
      <c r="T36" s="6">
        <v>1</v>
      </c>
      <c r="U36" s="1">
        <v>75.099999999999994</v>
      </c>
      <c r="W36" s="1">
        <v>4.9000000000000004</v>
      </c>
    </row>
    <row r="37" spans="1:169" x14ac:dyDescent="0.2">
      <c r="A37" s="1" t="s">
        <v>1373</v>
      </c>
      <c r="B37" s="1" t="s">
        <v>55</v>
      </c>
      <c r="C37" s="1" t="s">
        <v>236</v>
      </c>
      <c r="D37" s="1" t="s">
        <v>2</v>
      </c>
      <c r="E37" s="1">
        <v>12</v>
      </c>
      <c r="F37" s="1" t="s">
        <v>1374</v>
      </c>
      <c r="H37" s="1" t="s">
        <v>1375</v>
      </c>
      <c r="I37" s="1" t="s">
        <v>7</v>
      </c>
      <c r="J37" s="1" t="s">
        <v>1376</v>
      </c>
      <c r="K37" s="1" t="s">
        <v>1377</v>
      </c>
      <c r="L37" s="1" t="s">
        <v>1376</v>
      </c>
      <c r="N37" s="1" t="s">
        <v>1378</v>
      </c>
      <c r="P37" s="1" t="s">
        <v>1270</v>
      </c>
      <c r="Q37" s="1">
        <v>2007</v>
      </c>
      <c r="R37" s="1" t="s">
        <v>1379</v>
      </c>
      <c r="S37" s="1" t="s">
        <v>27</v>
      </c>
      <c r="T37" s="6">
        <v>1</v>
      </c>
      <c r="U37" s="1">
        <v>76.3</v>
      </c>
      <c r="W37" s="1">
        <v>0.97</v>
      </c>
      <c r="AD37" s="1">
        <v>0.785577319587629</v>
      </c>
      <c r="AW37" s="1">
        <v>7.3914969999999997E-2</v>
      </c>
      <c r="BA37" s="1">
        <v>0.20040863</v>
      </c>
      <c r="BG37" s="1">
        <v>5.3721705000000002E-2</v>
      </c>
      <c r="BI37" s="1">
        <v>4.4196579999999999E-3</v>
      </c>
      <c r="BZ37" s="1">
        <v>2.8575375E-2</v>
      </c>
      <c r="CK37" s="1">
        <v>0.20955275000000001</v>
      </c>
      <c r="CV37" s="1">
        <v>5.2578690000000001E-3</v>
      </c>
      <c r="DN37" s="1">
        <v>0.10820542</v>
      </c>
      <c r="ED37" s="1">
        <v>1.0134733E-2</v>
      </c>
      <c r="EX37" s="1">
        <v>5.7912759999999997E-3</v>
      </c>
      <c r="FE37" s="1">
        <v>1.8516843000000002E-2</v>
      </c>
      <c r="FM37" s="1">
        <v>3.3909445000000003E-2</v>
      </c>
    </row>
    <row r="38" spans="1:169" x14ac:dyDescent="0.2">
      <c r="A38" s="1" t="s">
        <v>1380</v>
      </c>
      <c r="B38" s="1" t="s">
        <v>55</v>
      </c>
      <c r="C38" s="1" t="s">
        <v>1381</v>
      </c>
      <c r="E38" s="1">
        <v>13</v>
      </c>
      <c r="F38" s="1" t="s">
        <v>1382</v>
      </c>
      <c r="G38" s="1" t="s">
        <v>1383</v>
      </c>
      <c r="H38" s="1" t="s">
        <v>1384</v>
      </c>
      <c r="I38" s="1" t="s">
        <v>7</v>
      </c>
      <c r="J38" s="1" t="s">
        <v>1385</v>
      </c>
      <c r="K38" s="1" t="s">
        <v>1386</v>
      </c>
      <c r="L38" s="1" t="s">
        <v>1385</v>
      </c>
      <c r="P38" s="1" t="s">
        <v>1387</v>
      </c>
      <c r="Q38" s="1">
        <v>1995</v>
      </c>
      <c r="R38" s="1" t="s">
        <v>1388</v>
      </c>
      <c r="S38" s="1" t="s">
        <v>27</v>
      </c>
      <c r="T38" s="6">
        <v>1</v>
      </c>
      <c r="V38" s="1">
        <v>19.75</v>
      </c>
      <c r="Y38" s="1">
        <v>7.8003287639833703</v>
      </c>
      <c r="AA38" s="1">
        <v>2.4349941169273901</v>
      </c>
      <c r="AB38" s="1">
        <v>1.08882135387721</v>
      </c>
      <c r="AD38" s="1">
        <v>0.92575949367088595</v>
      </c>
      <c r="AF38" s="1">
        <v>1.9202109389836299</v>
      </c>
      <c r="AW38" s="1">
        <v>0.38963902165374298</v>
      </c>
      <c r="BA38" s="1">
        <v>5.5279980396337898</v>
      </c>
      <c r="BG38" s="1">
        <v>1.8826917026958301</v>
      </c>
      <c r="BZ38" s="1">
        <v>1.8631850729836199</v>
      </c>
      <c r="CK38" s="1">
        <v>5.0964206922284099</v>
      </c>
      <c r="DN38" s="1">
        <v>0.51478317794376505</v>
      </c>
      <c r="EH38" s="1">
        <v>0.44867883850745699</v>
      </c>
      <c r="EL38" s="1">
        <v>0.50399962143467703</v>
      </c>
      <c r="FE38" s="1">
        <v>0.28494442702907802</v>
      </c>
      <c r="FM38" s="1">
        <v>0.68258805201241202</v>
      </c>
    </row>
    <row r="39" spans="1:169" x14ac:dyDescent="0.2">
      <c r="A39" s="1" t="s">
        <v>1389</v>
      </c>
      <c r="B39" s="1" t="s">
        <v>55</v>
      </c>
      <c r="C39" s="1" t="s">
        <v>1381</v>
      </c>
      <c r="E39" s="1">
        <v>11</v>
      </c>
      <c r="F39" s="1" t="s">
        <v>1390</v>
      </c>
      <c r="G39" s="1" t="s">
        <v>1391</v>
      </c>
      <c r="H39" s="1" t="s">
        <v>1392</v>
      </c>
      <c r="I39" s="1" t="s">
        <v>7</v>
      </c>
      <c r="J39" s="1" t="s">
        <v>1393</v>
      </c>
      <c r="K39" s="1" t="s">
        <v>1394</v>
      </c>
      <c r="L39" s="1" t="s">
        <v>1393</v>
      </c>
      <c r="P39" s="1" t="s">
        <v>1387</v>
      </c>
      <c r="Q39" s="1">
        <v>1995</v>
      </c>
      <c r="R39" s="1" t="s">
        <v>1388</v>
      </c>
      <c r="S39" s="1" t="s">
        <v>27</v>
      </c>
      <c r="T39" s="6">
        <v>1</v>
      </c>
      <c r="V39" s="1">
        <v>1.19</v>
      </c>
      <c r="Y39" s="1">
        <v>0.25379851721706997</v>
      </c>
      <c r="AA39" s="1">
        <v>0.19352442647214699</v>
      </c>
      <c r="AB39" s="1">
        <v>5.1590289529099699E-2</v>
      </c>
      <c r="AD39" s="1">
        <v>0.81283193277310894</v>
      </c>
      <c r="AF39" s="1">
        <v>3.4947303081315197E-2</v>
      </c>
      <c r="BA39" s="1">
        <v>0.16704919184616099</v>
      </c>
      <c r="BG39" s="1">
        <v>5.5710939442381799E-2</v>
      </c>
      <c r="BI39" s="1">
        <v>3.1038385928527101E-2</v>
      </c>
      <c r="BZ39" s="1">
        <v>6.3497172560249504E-2</v>
      </c>
      <c r="CK39" s="1">
        <v>0.40485959422143403</v>
      </c>
      <c r="DN39" s="1">
        <v>0.14087855625642601</v>
      </c>
      <c r="DT39" s="1">
        <v>1.7698567134405398E-2</v>
      </c>
      <c r="EH39" s="1">
        <v>2.09067788806916E-2</v>
      </c>
      <c r="FM39" s="1">
        <v>1.40405242006236E-2</v>
      </c>
    </row>
    <row r="40" spans="1:169" x14ac:dyDescent="0.2">
      <c r="A40" s="1" t="s">
        <v>1395</v>
      </c>
      <c r="B40" s="1" t="s">
        <v>55</v>
      </c>
      <c r="C40" s="1" t="s">
        <v>1381</v>
      </c>
      <c r="E40" s="1">
        <v>13</v>
      </c>
      <c r="G40" s="1" t="s">
        <v>1396</v>
      </c>
      <c r="H40" s="1" t="s">
        <v>1397</v>
      </c>
      <c r="I40" s="1" t="s">
        <v>7</v>
      </c>
      <c r="J40" s="1" t="s">
        <v>1398</v>
      </c>
      <c r="L40" s="1" t="s">
        <v>1399</v>
      </c>
      <c r="P40" s="1" t="s">
        <v>1387</v>
      </c>
      <c r="Q40" s="1">
        <v>1995</v>
      </c>
      <c r="R40" s="1" t="s">
        <v>1388</v>
      </c>
      <c r="S40" s="1" t="s">
        <v>27</v>
      </c>
      <c r="T40" s="6">
        <v>1</v>
      </c>
      <c r="V40" s="1">
        <v>0.7</v>
      </c>
      <c r="Y40" s="1">
        <v>0.185520277662266</v>
      </c>
      <c r="AA40" s="1">
        <v>9.5246141857895802E-2</v>
      </c>
      <c r="AB40" s="1">
        <v>8.0512829131896793E-2</v>
      </c>
      <c r="AD40" s="1">
        <v>0.72871428571428598</v>
      </c>
      <c r="AF40" s="1">
        <v>2.20095979917782E-2</v>
      </c>
      <c r="AW40" s="1">
        <v>5.3547750681660101E-3</v>
      </c>
      <c r="BA40" s="1">
        <v>9.2068650475685507E-2</v>
      </c>
      <c r="BG40" s="1">
        <v>5.16109106298865E-2</v>
      </c>
      <c r="BI40" s="1">
        <v>3.6485941488528503E-2</v>
      </c>
      <c r="BZ40" s="1">
        <v>2.6272840335772599E-2</v>
      </c>
      <c r="CK40" s="1">
        <v>0.122547911012168</v>
      </c>
      <c r="DN40" s="1">
        <v>1.23579028226239E-2</v>
      </c>
      <c r="DT40" s="1">
        <v>6.0878641043493699E-2</v>
      </c>
      <c r="FM40" s="1">
        <v>2.20095979917782E-2</v>
      </c>
    </row>
    <row r="41" spans="1:169" x14ac:dyDescent="0.2">
      <c r="A41" s="1" t="s">
        <v>1400</v>
      </c>
      <c r="B41" s="1" t="s">
        <v>55</v>
      </c>
      <c r="C41" s="1" t="s">
        <v>1381</v>
      </c>
      <c r="E41" s="1">
        <v>13</v>
      </c>
      <c r="F41" s="1" t="s">
        <v>1401</v>
      </c>
      <c r="G41" s="1" t="s">
        <v>1402</v>
      </c>
      <c r="H41" s="1" t="s">
        <v>1403</v>
      </c>
      <c r="I41" s="1" t="s">
        <v>7</v>
      </c>
      <c r="J41" s="1" t="s">
        <v>1404</v>
      </c>
      <c r="K41" s="1" t="s">
        <v>1405</v>
      </c>
      <c r="L41" s="1" t="s">
        <v>1404</v>
      </c>
      <c r="P41" s="1" t="s">
        <v>1387</v>
      </c>
      <c r="Q41" s="1">
        <v>1995</v>
      </c>
      <c r="R41" s="1" t="s">
        <v>1388</v>
      </c>
      <c r="S41" s="1" t="s">
        <v>27</v>
      </c>
      <c r="T41" s="6">
        <v>1</v>
      </c>
      <c r="V41" s="1">
        <v>3.18</v>
      </c>
      <c r="Y41" s="1">
        <v>1.0455276307038901</v>
      </c>
      <c r="AA41" s="1">
        <v>0.76984473618262395</v>
      </c>
      <c r="AB41" s="1">
        <v>0.16795751413801999</v>
      </c>
      <c r="AD41" s="1">
        <v>0.88803144654088095</v>
      </c>
      <c r="AF41" s="1">
        <v>0.52116321948263</v>
      </c>
      <c r="BA41" s="1">
        <v>0.75397951500104898</v>
      </c>
      <c r="BG41" s="1">
        <v>0.29154811570284</v>
      </c>
      <c r="BZ41" s="1">
        <v>0.12823682346127299</v>
      </c>
      <c r="CK41" s="1">
        <v>0.71237329551419504</v>
      </c>
      <c r="DN41" s="1">
        <v>0.248681516699993</v>
      </c>
      <c r="EH41" s="1">
        <v>4.0679424783665499E-2</v>
      </c>
      <c r="EL41" s="1">
        <v>0.15322026736401101</v>
      </c>
      <c r="FM41" s="1">
        <v>0.32726352733495401</v>
      </c>
    </row>
    <row r="42" spans="1:169" x14ac:dyDescent="0.2">
      <c r="A42" s="1" t="s">
        <v>1406</v>
      </c>
      <c r="B42" s="1" t="s">
        <v>55</v>
      </c>
      <c r="C42" s="1" t="s">
        <v>1381</v>
      </c>
      <c r="E42" s="1">
        <v>33</v>
      </c>
      <c r="F42" s="1" t="s">
        <v>1407</v>
      </c>
      <c r="G42" s="1" t="s">
        <v>1408</v>
      </c>
      <c r="H42" s="1" t="s">
        <v>1409</v>
      </c>
      <c r="I42" s="1" t="s">
        <v>7</v>
      </c>
      <c r="J42" s="1" t="s">
        <v>1410</v>
      </c>
      <c r="K42" s="1" t="s">
        <v>1411</v>
      </c>
      <c r="L42" s="1" t="s">
        <v>1410</v>
      </c>
      <c r="P42" s="1" t="s">
        <v>1387</v>
      </c>
      <c r="Q42" s="1">
        <v>1995</v>
      </c>
      <c r="R42" s="1" t="s">
        <v>1388</v>
      </c>
      <c r="S42" s="1" t="s">
        <v>27</v>
      </c>
      <c r="T42" s="6">
        <v>1</v>
      </c>
      <c r="V42" s="1">
        <v>0.69</v>
      </c>
      <c r="Y42" s="1">
        <v>0.193904175532123</v>
      </c>
      <c r="AA42" s="1">
        <v>0.13741522192809</v>
      </c>
      <c r="AB42" s="1">
        <v>7.2413724958178702E-2</v>
      </c>
      <c r="AD42" s="1">
        <v>0.72575362318840597</v>
      </c>
      <c r="AF42" s="1">
        <v>0.11096738013698</v>
      </c>
      <c r="AW42" s="1">
        <v>1.81111044954353E-2</v>
      </c>
      <c r="BA42" s="1">
        <v>0.123091185713291</v>
      </c>
      <c r="BG42" s="1">
        <v>5.27018853233963E-2</v>
      </c>
      <c r="BZ42" s="1">
        <v>4.8617446484649302E-2</v>
      </c>
      <c r="CK42" s="1">
        <v>4.8419431096958801E-2</v>
      </c>
      <c r="DT42" s="1">
        <v>2.6447841791110299E-2</v>
      </c>
      <c r="FE42" s="1">
        <v>5.87391168920154E-2</v>
      </c>
      <c r="FM42" s="1">
        <v>5.2228263244964802E-2</v>
      </c>
    </row>
    <row r="43" spans="1:169" x14ac:dyDescent="0.2">
      <c r="A43" s="1" t="s">
        <v>1412</v>
      </c>
      <c r="B43" s="1" t="s">
        <v>55</v>
      </c>
      <c r="C43" s="1" t="s">
        <v>1381</v>
      </c>
      <c r="E43" s="1">
        <v>13</v>
      </c>
      <c r="F43" s="1" t="s">
        <v>1413</v>
      </c>
      <c r="G43" s="1" t="s">
        <v>1414</v>
      </c>
      <c r="H43" s="1" t="s">
        <v>1415</v>
      </c>
      <c r="I43" s="1" t="s">
        <v>7</v>
      </c>
      <c r="J43" s="1" t="s">
        <v>1416</v>
      </c>
      <c r="K43" s="1" t="s">
        <v>1417</v>
      </c>
      <c r="L43" s="1" t="s">
        <v>1416</v>
      </c>
      <c r="P43" s="1" t="s">
        <v>1387</v>
      </c>
      <c r="Q43" s="1">
        <v>1995</v>
      </c>
      <c r="R43" s="1" t="s">
        <v>1388</v>
      </c>
      <c r="S43" s="1" t="s">
        <v>27</v>
      </c>
      <c r="T43" s="6">
        <v>1</v>
      </c>
      <c r="V43" s="1">
        <v>3.68</v>
      </c>
      <c r="Y43" s="1">
        <v>1.49409894394645</v>
      </c>
      <c r="AA43" s="1">
        <v>0.66525226283294103</v>
      </c>
      <c r="AB43" s="1">
        <v>8.0756323984750203E-2</v>
      </c>
      <c r="AD43" s="1">
        <v>0.89414130434782602</v>
      </c>
      <c r="AF43" s="1">
        <v>0.43953832405280502</v>
      </c>
      <c r="AW43" s="1">
        <v>8.6707247949913302E-2</v>
      </c>
      <c r="BA43" s="1">
        <v>0.99003594026476405</v>
      </c>
      <c r="BG43" s="1">
        <v>0.35874630908383898</v>
      </c>
      <c r="BI43" s="1">
        <v>5.8609446647938497E-2</v>
      </c>
      <c r="BZ43" s="1">
        <v>0.28495393459944501</v>
      </c>
      <c r="CK43" s="1">
        <v>0.76537853463640904</v>
      </c>
      <c r="DN43" s="1">
        <v>0.22571393878013599</v>
      </c>
      <c r="EH43" s="1">
        <v>8.1690389092600305E-2</v>
      </c>
      <c r="EL43" s="1">
        <v>0.12903099184402</v>
      </c>
      <c r="FE43" s="1">
        <v>4.0009545763360799E-2</v>
      </c>
      <c r="FM43" s="1">
        <v>0.18880739735282401</v>
      </c>
    </row>
    <row r="44" spans="1:169" x14ac:dyDescent="0.2">
      <c r="A44" s="1" t="s">
        <v>1418</v>
      </c>
      <c r="B44" s="1" t="s">
        <v>55</v>
      </c>
      <c r="C44" s="1" t="s">
        <v>1381</v>
      </c>
      <c r="E44" s="1">
        <v>13</v>
      </c>
      <c r="F44" s="1" t="s">
        <v>1419</v>
      </c>
      <c r="G44" s="1" t="s">
        <v>1420</v>
      </c>
      <c r="H44" s="1" t="s">
        <v>1421</v>
      </c>
      <c r="I44" s="1" t="s">
        <v>7</v>
      </c>
      <c r="J44" s="1" t="s">
        <v>1422</v>
      </c>
      <c r="K44" s="1" t="s">
        <v>1423</v>
      </c>
      <c r="L44" s="1" t="s">
        <v>1422</v>
      </c>
      <c r="P44" s="1" t="s">
        <v>1387</v>
      </c>
      <c r="Q44" s="1">
        <v>1995</v>
      </c>
      <c r="R44" s="1" t="s">
        <v>1388</v>
      </c>
      <c r="S44" s="1" t="s">
        <v>27</v>
      </c>
      <c r="T44" s="6">
        <v>1</v>
      </c>
      <c r="V44" s="1">
        <v>0.88</v>
      </c>
      <c r="Y44" s="1">
        <v>0.34612028038398301</v>
      </c>
      <c r="AA44" s="1">
        <v>0.21067936335854801</v>
      </c>
      <c r="AB44" s="1">
        <v>1.9336200525773201E-2</v>
      </c>
      <c r="AD44" s="1">
        <v>0.77049999999999996</v>
      </c>
      <c r="AF44" s="1">
        <v>0.15018842375764399</v>
      </c>
      <c r="AW44" s="1">
        <v>1.6658469668468599E-2</v>
      </c>
      <c r="BA44" s="1">
        <v>0.26661113733799102</v>
      </c>
      <c r="BG44" s="1">
        <v>6.2850673377523605E-2</v>
      </c>
      <c r="BZ44" s="1">
        <v>3.5610260679604697E-2</v>
      </c>
      <c r="CK44" s="1">
        <v>6.6293895052091101E-2</v>
      </c>
      <c r="DN44" s="1">
        <v>3.4086403536731202E-2</v>
      </c>
      <c r="ED44" s="1">
        <v>2.6404536064173301E-2</v>
      </c>
      <c r="EL44" s="1">
        <v>5.62461801166955E-2</v>
      </c>
      <c r="ET44" s="1">
        <v>1.28244905852485E-2</v>
      </c>
      <c r="FE44" s="1">
        <v>3.2706128891106599E-2</v>
      </c>
      <c r="FM44" s="1">
        <v>4.8411624164592999E-2</v>
      </c>
    </row>
    <row r="45" spans="1:169" x14ac:dyDescent="0.2">
      <c r="A45" s="1" t="s">
        <v>1424</v>
      </c>
      <c r="B45" s="1" t="s">
        <v>55</v>
      </c>
      <c r="C45" s="1" t="s">
        <v>1381</v>
      </c>
      <c r="E45" s="1">
        <v>13</v>
      </c>
      <c r="F45" s="1" t="s">
        <v>1425</v>
      </c>
      <c r="G45" s="1" t="s">
        <v>1426</v>
      </c>
      <c r="H45" s="1" t="s">
        <v>1397</v>
      </c>
      <c r="I45" s="1" t="s">
        <v>7</v>
      </c>
      <c r="J45" s="1" t="s">
        <v>1427</v>
      </c>
      <c r="L45" s="1" t="s">
        <v>1428</v>
      </c>
      <c r="P45" s="1" t="s">
        <v>1387</v>
      </c>
      <c r="Q45" s="1">
        <v>1995</v>
      </c>
      <c r="R45" s="1" t="s">
        <v>1388</v>
      </c>
      <c r="S45" s="1" t="s">
        <v>27</v>
      </c>
      <c r="T45" s="6">
        <v>1</v>
      </c>
      <c r="V45" s="1">
        <v>2.98</v>
      </c>
      <c r="Y45" s="1">
        <v>0.99420594622678604</v>
      </c>
      <c r="AA45" s="1">
        <v>1.17710728661372</v>
      </c>
      <c r="AB45" s="1">
        <v>5.2320732817454801E-4</v>
      </c>
      <c r="AD45" s="1">
        <v>0.88501342281879203</v>
      </c>
      <c r="AF45" s="1">
        <v>0.59918080932239604</v>
      </c>
      <c r="BA45" s="1">
        <v>0.69950878429030605</v>
      </c>
      <c r="BG45" s="1">
        <v>0.29469716193648099</v>
      </c>
      <c r="CK45" s="1">
        <v>0.46550355983132302</v>
      </c>
      <c r="DN45" s="1">
        <v>0.57792647729131996</v>
      </c>
      <c r="EL45" s="1">
        <v>0.20119040042053701</v>
      </c>
      <c r="FM45" s="1">
        <v>0.39799040890185999</v>
      </c>
    </row>
    <row r="46" spans="1:169" x14ac:dyDescent="0.2">
      <c r="A46" s="1" t="s">
        <v>1429</v>
      </c>
      <c r="B46" s="1" t="s">
        <v>55</v>
      </c>
      <c r="C46" s="1" t="s">
        <v>1381</v>
      </c>
      <c r="E46" s="1">
        <v>13</v>
      </c>
      <c r="F46" s="1" t="s">
        <v>1430</v>
      </c>
      <c r="G46" s="1" t="s">
        <v>1431</v>
      </c>
      <c r="H46" s="1" t="s">
        <v>1397</v>
      </c>
      <c r="I46" s="1" t="s">
        <v>7</v>
      </c>
      <c r="J46" s="1" t="s">
        <v>1432</v>
      </c>
      <c r="P46" s="1" t="s">
        <v>1387</v>
      </c>
      <c r="Q46" s="1">
        <v>1995</v>
      </c>
      <c r="R46" s="1" t="s">
        <v>1388</v>
      </c>
      <c r="S46" s="1" t="s">
        <v>27</v>
      </c>
      <c r="T46" s="6">
        <v>1</v>
      </c>
      <c r="V46" s="1">
        <v>5.5</v>
      </c>
      <c r="Y46" s="1">
        <v>1.98462092979968</v>
      </c>
      <c r="AA46" s="1">
        <v>0.53505910706954096</v>
      </c>
      <c r="AB46" s="1">
        <v>0.14421573393893</v>
      </c>
      <c r="AD46" s="1">
        <v>0.90700000000000003</v>
      </c>
      <c r="AF46" s="1">
        <v>0.31779042401888002</v>
      </c>
      <c r="BA46" s="1">
        <v>1.3888096579117799</v>
      </c>
      <c r="BG46" s="1">
        <v>0.46631593561253898</v>
      </c>
      <c r="BI46" s="1">
        <v>0.129495336275357</v>
      </c>
      <c r="BZ46" s="1">
        <v>0.32655799297381299</v>
      </c>
      <c r="CK46" s="1">
        <v>1.99804623621804</v>
      </c>
      <c r="DN46" s="1">
        <v>0.21726868305066099</v>
      </c>
      <c r="EH46" s="1">
        <v>9.9859490648391405E-2</v>
      </c>
      <c r="EL46" s="1">
        <v>0.122365593801228</v>
      </c>
      <c r="FM46" s="1">
        <v>9.5565339569259805E-2</v>
      </c>
    </row>
    <row r="47" spans="1:169" x14ac:dyDescent="0.2">
      <c r="A47" s="1" t="s">
        <v>1433</v>
      </c>
      <c r="B47" s="1" t="s">
        <v>55</v>
      </c>
      <c r="C47" s="1" t="s">
        <v>1381</v>
      </c>
      <c r="E47" s="1">
        <v>13</v>
      </c>
      <c r="F47" s="1" t="s">
        <v>1434</v>
      </c>
      <c r="G47" s="1" t="s">
        <v>1435</v>
      </c>
      <c r="H47" s="1" t="s">
        <v>1436</v>
      </c>
      <c r="I47" s="1" t="s">
        <v>7</v>
      </c>
      <c r="J47" s="1" t="s">
        <v>1437</v>
      </c>
      <c r="K47" s="1" t="s">
        <v>1435</v>
      </c>
      <c r="L47" s="1" t="s">
        <v>1438</v>
      </c>
      <c r="P47" s="1" t="s">
        <v>1387</v>
      </c>
      <c r="Q47" s="1">
        <v>1995</v>
      </c>
      <c r="R47" s="1" t="s">
        <v>1388</v>
      </c>
      <c r="S47" s="1" t="s">
        <v>27</v>
      </c>
      <c r="T47" s="6">
        <v>1</v>
      </c>
      <c r="V47" s="1">
        <v>18.309999999999999</v>
      </c>
      <c r="Y47" s="1">
        <v>7.4436766368622704</v>
      </c>
      <c r="AA47" s="1">
        <v>1.2680497837824101</v>
      </c>
      <c r="AB47" s="1">
        <v>0.232599370951481</v>
      </c>
      <c r="AD47" s="1">
        <v>0.92519006007646098</v>
      </c>
      <c r="AF47" s="1">
        <v>0.23523784807869999</v>
      </c>
      <c r="AW47" s="1">
        <v>2.5912421547825901</v>
      </c>
      <c r="BA47" s="1">
        <v>3.5953803987314101</v>
      </c>
      <c r="BG47" s="1">
        <v>1.0505019970050899</v>
      </c>
      <c r="BI47" s="1">
        <v>0.20655208634318101</v>
      </c>
      <c r="BZ47" s="1">
        <v>1.1478219270141701</v>
      </c>
      <c r="CK47" s="1">
        <v>6.8480822813896696</v>
      </c>
      <c r="DN47" s="1">
        <v>1.03281193570371</v>
      </c>
      <c r="FE47" s="1">
        <v>0.23523784807869999</v>
      </c>
    </row>
    <row r="48" spans="1:169" x14ac:dyDescent="0.2">
      <c r="A48" s="1" t="s">
        <v>1439</v>
      </c>
      <c r="B48" s="1" t="s">
        <v>55</v>
      </c>
      <c r="C48" s="1" t="s">
        <v>1381</v>
      </c>
      <c r="E48" s="1">
        <v>13</v>
      </c>
      <c r="G48" s="1" t="s">
        <v>1440</v>
      </c>
      <c r="H48" s="1" t="s">
        <v>1397</v>
      </c>
      <c r="I48" s="1" t="s">
        <v>7</v>
      </c>
      <c r="J48" s="1" t="s">
        <v>1441</v>
      </c>
      <c r="L48" s="1" t="s">
        <v>1442</v>
      </c>
      <c r="P48" s="1" t="s">
        <v>1387</v>
      </c>
      <c r="Q48" s="1">
        <v>1995</v>
      </c>
      <c r="R48" s="1" t="s">
        <v>1388</v>
      </c>
      <c r="S48" s="1" t="s">
        <v>27</v>
      </c>
      <c r="T48" s="6">
        <v>1</v>
      </c>
      <c r="V48" s="1">
        <v>9.17</v>
      </c>
      <c r="Y48" s="1">
        <v>2.8368684411876002</v>
      </c>
      <c r="AA48" s="1">
        <v>0.579684017970032</v>
      </c>
      <c r="AB48" s="1">
        <v>0.622176812689893</v>
      </c>
      <c r="AD48" s="1">
        <v>0.91740567066521295</v>
      </c>
      <c r="AF48" s="1">
        <v>0.17921019708788</v>
      </c>
      <c r="AW48" s="1">
        <v>0.16174720813944299</v>
      </c>
      <c r="BA48" s="1">
        <v>1.97179102382142</v>
      </c>
      <c r="BG48" s="1">
        <v>0.51361433526267697</v>
      </c>
      <c r="BI48" s="1">
        <v>0.18971587396405901</v>
      </c>
      <c r="BZ48" s="1">
        <v>0.82446020348221005</v>
      </c>
      <c r="CK48" s="1">
        <v>3.5494205246702601</v>
      </c>
      <c r="DN48" s="1">
        <v>0.17361863044822501</v>
      </c>
      <c r="DT48" s="1">
        <v>0.22685519043392699</v>
      </c>
      <c r="EH48" s="1">
        <v>9.7732401573009497E-2</v>
      </c>
      <c r="FM48" s="1">
        <v>8.1477795514870402E-2</v>
      </c>
    </row>
    <row r="49" spans="1:169" x14ac:dyDescent="0.2">
      <c r="A49" s="1" t="s">
        <v>1443</v>
      </c>
      <c r="B49" s="1" t="s">
        <v>55</v>
      </c>
      <c r="C49" s="1" t="s">
        <v>1381</v>
      </c>
      <c r="E49" s="1">
        <v>13</v>
      </c>
      <c r="F49" s="1" t="s">
        <v>1444</v>
      </c>
      <c r="G49" s="1" t="s">
        <v>1445</v>
      </c>
      <c r="H49" s="1" t="s">
        <v>1397</v>
      </c>
      <c r="I49" s="1" t="s">
        <v>7</v>
      </c>
      <c r="J49" s="1" t="s">
        <v>1446</v>
      </c>
      <c r="L49" s="1" t="s">
        <v>1446</v>
      </c>
      <c r="P49" s="1" t="s">
        <v>1387</v>
      </c>
      <c r="Q49" s="1">
        <v>1995</v>
      </c>
      <c r="R49" s="1" t="s">
        <v>1388</v>
      </c>
      <c r="S49" s="1" t="s">
        <v>27</v>
      </c>
      <c r="T49" s="6">
        <v>1</v>
      </c>
      <c r="V49" s="1">
        <v>2.6</v>
      </c>
      <c r="Y49" s="1">
        <v>0.69543012134510596</v>
      </c>
      <c r="AA49" s="1">
        <v>0.39319180253761699</v>
      </c>
      <c r="AB49" s="1">
        <v>0.21225378284513299</v>
      </c>
      <c r="AD49" s="1">
        <v>0.878</v>
      </c>
      <c r="AF49" s="1">
        <v>0.28202450753902403</v>
      </c>
      <c r="BA49" s="1">
        <v>0.48963673590026902</v>
      </c>
      <c r="BG49" s="1">
        <v>0.15940110446720801</v>
      </c>
      <c r="BI49" s="1">
        <v>4.6392280977628902E-2</v>
      </c>
      <c r="BZ49" s="1">
        <v>8.7334554225852998E-2</v>
      </c>
      <c r="CK49" s="1">
        <v>0.89458973904629202</v>
      </c>
      <c r="DN49" s="1">
        <v>8.9131746588215904E-2</v>
      </c>
      <c r="DT49" s="1">
        <v>2.2035548410376301E-2</v>
      </c>
      <c r="EH49" s="1">
        <v>0.116060115383409</v>
      </c>
      <c r="EL49" s="1">
        <v>3.0519757006213101E-2</v>
      </c>
      <c r="FE49" s="1">
        <v>3.1878145800809797E-2</v>
      </c>
      <c r="FM49" s="1">
        <v>0.103566489348592</v>
      </c>
    </row>
    <row r="50" spans="1:169" x14ac:dyDescent="0.2">
      <c r="A50" s="1" t="s">
        <v>1447</v>
      </c>
      <c r="B50" s="1" t="s">
        <v>55</v>
      </c>
      <c r="C50" s="1" t="s">
        <v>1381</v>
      </c>
      <c r="E50" s="1">
        <v>13</v>
      </c>
      <c r="F50" s="1" t="s">
        <v>1448</v>
      </c>
      <c r="G50" s="1" t="s">
        <v>1449</v>
      </c>
      <c r="H50" s="1" t="s">
        <v>1450</v>
      </c>
      <c r="I50" s="1" t="s">
        <v>7</v>
      </c>
      <c r="J50" s="1" t="s">
        <v>1451</v>
      </c>
      <c r="K50" s="1" t="s">
        <v>1452</v>
      </c>
      <c r="L50" s="1" t="s">
        <v>1451</v>
      </c>
      <c r="P50" s="1" t="s">
        <v>1387</v>
      </c>
      <c r="Q50" s="1">
        <v>1995</v>
      </c>
      <c r="R50" s="1" t="s">
        <v>1388</v>
      </c>
      <c r="S50" s="1" t="s">
        <v>27</v>
      </c>
      <c r="T50" s="6">
        <v>1</v>
      </c>
      <c r="V50" s="1">
        <v>1.27</v>
      </c>
      <c r="Y50" s="1">
        <v>0.39463500430358101</v>
      </c>
      <c r="AA50" s="1">
        <v>0.216323536438665</v>
      </c>
      <c r="AB50" s="1">
        <v>0.13251248960661799</v>
      </c>
      <c r="AD50" s="1">
        <v>0.82040157480315001</v>
      </c>
      <c r="AF50" s="1">
        <v>0.15726924072232501</v>
      </c>
      <c r="AW50" s="1">
        <v>9.9085990224274095E-3</v>
      </c>
      <c r="BA50" s="1">
        <v>0.249189207284396</v>
      </c>
      <c r="BG50" s="1">
        <v>0.106494204396734</v>
      </c>
      <c r="BI50" s="1">
        <v>2.9042993600022798E-2</v>
      </c>
      <c r="BZ50" s="1">
        <v>5.2122573938524597E-2</v>
      </c>
      <c r="CK50" s="1">
        <v>0.24631639571261099</v>
      </c>
      <c r="DN50" s="1">
        <v>5.9054295716340098E-2</v>
      </c>
      <c r="EL50" s="1">
        <v>1.52950020584791E-2</v>
      </c>
      <c r="ET50" s="1">
        <v>1.6786563367016501E-2</v>
      </c>
      <c r="FE50" s="1">
        <v>4.5230277537922199E-2</v>
      </c>
      <c r="FM50" s="1">
        <v>7.9957397758907603E-2</v>
      </c>
    </row>
    <row r="51" spans="1:169" x14ac:dyDescent="0.2">
      <c r="A51" s="1" t="s">
        <v>1453</v>
      </c>
      <c r="B51" s="1" t="s">
        <v>55</v>
      </c>
      <c r="C51" s="1" t="s">
        <v>1381</v>
      </c>
      <c r="E51" s="1">
        <v>13</v>
      </c>
      <c r="G51" s="1" t="s">
        <v>1454</v>
      </c>
      <c r="H51" s="1" t="s">
        <v>1397</v>
      </c>
      <c r="I51" s="1" t="s">
        <v>7</v>
      </c>
      <c r="J51" s="1" t="s">
        <v>1455</v>
      </c>
      <c r="L51" s="1" t="s">
        <v>1456</v>
      </c>
      <c r="P51" s="1" t="s">
        <v>1387</v>
      </c>
      <c r="Q51" s="1">
        <v>1995</v>
      </c>
      <c r="R51" s="1" t="s">
        <v>1388</v>
      </c>
      <c r="S51" s="1" t="s">
        <v>27</v>
      </c>
      <c r="T51" s="6">
        <v>1</v>
      </c>
      <c r="V51" s="1">
        <v>0.7</v>
      </c>
      <c r="Y51" s="1">
        <v>0.171063396039393</v>
      </c>
      <c r="AA51" s="1">
        <v>0.11198243364303399</v>
      </c>
      <c r="AB51" s="1">
        <v>4.9890147442175702E-2</v>
      </c>
      <c r="AD51" s="1">
        <v>0.72871428571428598</v>
      </c>
      <c r="AF51" s="1">
        <v>7.5447026594986297E-2</v>
      </c>
      <c r="AW51" s="1">
        <v>1.0160379357203E-2</v>
      </c>
      <c r="BA51" s="1">
        <v>0.116088036547475</v>
      </c>
      <c r="BG51" s="1">
        <v>3.9423304532946297E-2</v>
      </c>
      <c r="BI51" s="1">
        <v>5.3916756017683099E-3</v>
      </c>
      <c r="BZ51" s="1">
        <v>3.97650685248465E-2</v>
      </c>
      <c r="CK51" s="1">
        <v>0.13739895435055099</v>
      </c>
      <c r="DN51" s="1">
        <v>3.65354070480476E-2</v>
      </c>
      <c r="EH51" s="1">
        <v>1.75718637407094E-2</v>
      </c>
      <c r="EL51" s="1">
        <v>2.3446916091414499E-2</v>
      </c>
      <c r="ET51" s="1">
        <v>1.0212657305403499E-2</v>
      </c>
      <c r="FE51" s="1">
        <v>5.8967971916688202E-3</v>
      </c>
      <c r="FM51" s="1">
        <v>1.8318792265790099E-2</v>
      </c>
    </row>
    <row r="52" spans="1:169" x14ac:dyDescent="0.2">
      <c r="A52" s="1" t="s">
        <v>1457</v>
      </c>
      <c r="B52" s="1" t="s">
        <v>55</v>
      </c>
      <c r="C52" s="1" t="s">
        <v>1381</v>
      </c>
      <c r="E52" s="1">
        <v>12</v>
      </c>
      <c r="F52" s="1" t="s">
        <v>1374</v>
      </c>
      <c r="G52" s="1" t="s">
        <v>1458</v>
      </c>
      <c r="H52" s="1" t="s">
        <v>1459</v>
      </c>
      <c r="I52" s="1" t="s">
        <v>7</v>
      </c>
      <c r="J52" s="1" t="s">
        <v>1376</v>
      </c>
      <c r="K52" s="1" t="s">
        <v>1377</v>
      </c>
      <c r="L52" s="1" t="s">
        <v>1376</v>
      </c>
      <c r="P52" s="1" t="s">
        <v>1387</v>
      </c>
      <c r="Q52" s="1">
        <v>1995</v>
      </c>
      <c r="R52" s="1" t="s">
        <v>1388</v>
      </c>
      <c r="S52" s="1" t="s">
        <v>27</v>
      </c>
      <c r="T52" s="6">
        <v>1</v>
      </c>
      <c r="V52" s="1">
        <v>2.86</v>
      </c>
      <c r="Y52" s="1">
        <v>0.97185486109956398</v>
      </c>
      <c r="AA52" s="1">
        <v>0.414154931589931</v>
      </c>
      <c r="AB52" s="1">
        <v>2.15795390840294E-2</v>
      </c>
      <c r="AD52" s="1">
        <v>0.88300000000000001</v>
      </c>
      <c r="AF52" s="1">
        <v>0.122074404241457</v>
      </c>
      <c r="AW52" s="1">
        <v>8.3557292089722998E-2</v>
      </c>
      <c r="BA52" s="1">
        <v>0.67170978543926296</v>
      </c>
      <c r="BG52" s="1">
        <v>0.163982565549808</v>
      </c>
      <c r="BI52" s="1">
        <v>5.26052180207707E-2</v>
      </c>
      <c r="BZ52" s="1">
        <v>0.166097441119126</v>
      </c>
      <c r="CK52" s="1">
        <v>0.95169322710734905</v>
      </c>
      <c r="DN52" s="1">
        <v>0.23544073972183099</v>
      </c>
      <c r="DT52" s="1">
        <v>5.6639787626643998E-2</v>
      </c>
      <c r="EH52" s="1">
        <v>2.3005135775587701E-2</v>
      </c>
      <c r="EL52" s="1">
        <v>2.4883967703444799E-2</v>
      </c>
      <c r="FE52" s="1">
        <v>5.0246702439207702E-2</v>
      </c>
      <c r="FM52" s="1">
        <v>2.3938598323216501E-2</v>
      </c>
    </row>
    <row r="53" spans="1:169" x14ac:dyDescent="0.2">
      <c r="A53" s="1" t="s">
        <v>1460</v>
      </c>
      <c r="B53" s="1" t="s">
        <v>55</v>
      </c>
      <c r="C53" s="1" t="s">
        <v>1381</v>
      </c>
      <c r="E53" s="1">
        <v>13</v>
      </c>
      <c r="G53" s="1" t="s">
        <v>1461</v>
      </c>
      <c r="H53" s="1" t="s">
        <v>1397</v>
      </c>
      <c r="I53" s="1" t="s">
        <v>7</v>
      </c>
      <c r="J53" s="1" t="s">
        <v>1462</v>
      </c>
      <c r="L53" s="1" t="s">
        <v>1463</v>
      </c>
      <c r="P53" s="1" t="s">
        <v>1387</v>
      </c>
      <c r="Q53" s="1">
        <v>1995</v>
      </c>
      <c r="R53" s="1" t="s">
        <v>1388</v>
      </c>
      <c r="S53" s="1" t="s">
        <v>27</v>
      </c>
      <c r="T53" s="6">
        <v>1</v>
      </c>
      <c r="V53" s="1">
        <v>0.27</v>
      </c>
      <c r="Y53" s="1">
        <v>3.92805385316186E-2</v>
      </c>
      <c r="AA53" s="1">
        <v>2.52797620612101E-2</v>
      </c>
      <c r="AB53" s="1">
        <v>3.6980393396536797E-2</v>
      </c>
      <c r="AD53" s="1">
        <v>0.40337037037036999</v>
      </c>
      <c r="AF53" s="1">
        <v>1.93405320796264E-2</v>
      </c>
      <c r="BA53" s="1">
        <v>5.4462964218970396E-3</v>
      </c>
      <c r="BG53" s="1">
        <v>3.7294989106597901E-3</v>
      </c>
      <c r="BI53" s="1">
        <v>3.0104743199061802E-2</v>
      </c>
      <c r="CK53" s="1">
        <v>7.3693060106344698E-3</v>
      </c>
      <c r="DN53" s="1">
        <v>5.9392299815837699E-3</v>
      </c>
      <c r="EL53" s="1">
        <v>5.6241692293189996E-3</v>
      </c>
      <c r="FE53" s="1">
        <v>6.6160603406145496E-3</v>
      </c>
      <c r="FM53" s="1">
        <v>7.1003025096928202E-3</v>
      </c>
    </row>
    <row r="54" spans="1:169" x14ac:dyDescent="0.2">
      <c r="A54" s="1" t="s">
        <v>1464</v>
      </c>
      <c r="B54" s="1" t="s">
        <v>55</v>
      </c>
      <c r="C54" s="1" t="s">
        <v>1381</v>
      </c>
      <c r="E54" s="1">
        <v>23</v>
      </c>
      <c r="F54" s="1" t="s">
        <v>1465</v>
      </c>
      <c r="G54" s="1" t="s">
        <v>1466</v>
      </c>
      <c r="H54" s="1" t="s">
        <v>1397</v>
      </c>
      <c r="I54" s="1" t="s">
        <v>7</v>
      </c>
      <c r="J54" s="1" t="s">
        <v>1467</v>
      </c>
      <c r="K54" s="1" t="s">
        <v>1468</v>
      </c>
      <c r="L54" s="1" t="s">
        <v>1469</v>
      </c>
      <c r="P54" s="1" t="s">
        <v>1387</v>
      </c>
      <c r="Q54" s="1">
        <v>1995</v>
      </c>
      <c r="R54" s="1" t="s">
        <v>1388</v>
      </c>
      <c r="S54" s="1" t="s">
        <v>27</v>
      </c>
      <c r="T54" s="6">
        <v>1</v>
      </c>
      <c r="V54" s="1">
        <v>6.42</v>
      </c>
      <c r="Y54" s="1">
        <v>1.7601970458709899</v>
      </c>
      <c r="AA54" s="1">
        <v>1.7302756624973299</v>
      </c>
      <c r="AB54" s="1">
        <v>0.30014149664531198</v>
      </c>
      <c r="AD54" s="1">
        <v>0.91072585669781903</v>
      </c>
      <c r="AF54" s="1">
        <v>1.6668109530241499</v>
      </c>
      <c r="AW54" s="1">
        <v>0.100132666372811</v>
      </c>
      <c r="BA54" s="1">
        <v>1.20866442203757</v>
      </c>
      <c r="BG54" s="1">
        <v>0.31440449334873199</v>
      </c>
      <c r="BI54" s="1">
        <v>0.13699546411187699</v>
      </c>
      <c r="BZ54" s="1">
        <v>0.42446151727095599</v>
      </c>
      <c r="CK54" s="1">
        <v>1.6317842777154199</v>
      </c>
      <c r="DT54" s="1">
        <v>6.3464709473176603E-2</v>
      </c>
      <c r="EH54" s="1">
        <v>0.74339690149357096</v>
      </c>
      <c r="EL54" s="1">
        <v>7.0496342740193702E-2</v>
      </c>
      <c r="ET54" s="1">
        <v>6.31463613604758E-2</v>
      </c>
      <c r="FE54" s="1">
        <v>9.8050685404585294E-2</v>
      </c>
      <c r="FM54" s="1">
        <v>0.69172066202532301</v>
      </c>
    </row>
    <row r="55" spans="1:169" x14ac:dyDescent="0.2">
      <c r="A55" s="1" t="s">
        <v>1470</v>
      </c>
      <c r="B55" s="1" t="s">
        <v>55</v>
      </c>
      <c r="C55" s="1" t="s">
        <v>1471</v>
      </c>
      <c r="D55" s="1" t="s">
        <v>2</v>
      </c>
      <c r="E55" s="1">
        <v>23</v>
      </c>
      <c r="F55" s="1" t="s">
        <v>1472</v>
      </c>
      <c r="H55" s="1" t="s">
        <v>1473</v>
      </c>
      <c r="I55" s="1" t="s">
        <v>7</v>
      </c>
      <c r="J55" s="1" t="s">
        <v>1474</v>
      </c>
      <c r="K55" s="1" t="s">
        <v>1475</v>
      </c>
      <c r="L55" s="1" t="s">
        <v>1474</v>
      </c>
      <c r="N55" s="1" t="s">
        <v>1476</v>
      </c>
      <c r="O55" s="1">
        <v>1</v>
      </c>
      <c r="Q55" s="1">
        <v>2004</v>
      </c>
      <c r="R55" s="1" t="s">
        <v>1477</v>
      </c>
      <c r="S55" s="1" t="s">
        <v>27</v>
      </c>
      <c r="T55" s="6">
        <v>1</v>
      </c>
      <c r="U55" s="1">
        <v>73.38</v>
      </c>
      <c r="W55" s="1">
        <v>3.44</v>
      </c>
    </row>
    <row r="56" spans="1:169" x14ac:dyDescent="0.2">
      <c r="A56" s="1" t="s">
        <v>1478</v>
      </c>
      <c r="B56" s="1" t="s">
        <v>55</v>
      </c>
      <c r="C56" s="1" t="s">
        <v>1471</v>
      </c>
      <c r="D56" s="1" t="s">
        <v>2</v>
      </c>
      <c r="E56" s="1">
        <v>23</v>
      </c>
      <c r="F56" s="1" t="s">
        <v>1472</v>
      </c>
      <c r="H56" s="1" t="s">
        <v>1479</v>
      </c>
      <c r="I56" s="1" t="s">
        <v>11</v>
      </c>
      <c r="J56" s="1" t="s">
        <v>1474</v>
      </c>
      <c r="K56" s="1" t="s">
        <v>1475</v>
      </c>
      <c r="L56" s="1" t="s">
        <v>1474</v>
      </c>
      <c r="N56" s="1" t="s">
        <v>1480</v>
      </c>
      <c r="O56" s="1">
        <v>1</v>
      </c>
      <c r="Q56" s="1">
        <v>2004</v>
      </c>
      <c r="R56" s="1" t="s">
        <v>1477</v>
      </c>
      <c r="S56" s="1" t="s">
        <v>27</v>
      </c>
      <c r="T56" s="6">
        <v>1</v>
      </c>
      <c r="U56" s="1" t="s">
        <v>1481</v>
      </c>
      <c r="W56" s="1" t="s">
        <v>1483</v>
      </c>
    </row>
    <row r="57" spans="1:169" x14ac:dyDescent="0.2">
      <c r="A57" s="1" t="s">
        <v>1485</v>
      </c>
      <c r="B57" s="1" t="s">
        <v>55</v>
      </c>
      <c r="C57" s="1" t="s">
        <v>1471</v>
      </c>
      <c r="D57" s="1" t="s">
        <v>2</v>
      </c>
      <c r="E57" s="1">
        <v>23</v>
      </c>
      <c r="F57" s="1" t="s">
        <v>1472</v>
      </c>
      <c r="H57" s="1" t="s">
        <v>1486</v>
      </c>
      <c r="I57" s="1" t="s">
        <v>11</v>
      </c>
      <c r="J57" s="1" t="s">
        <v>1474</v>
      </c>
      <c r="K57" s="1" t="s">
        <v>1475</v>
      </c>
      <c r="L57" s="1" t="s">
        <v>1474</v>
      </c>
      <c r="N57" s="1" t="s">
        <v>1487</v>
      </c>
      <c r="O57" s="1">
        <v>1</v>
      </c>
      <c r="Q57" s="1">
        <v>2004</v>
      </c>
      <c r="R57" s="1" t="s">
        <v>1477</v>
      </c>
      <c r="S57" s="1" t="s">
        <v>27</v>
      </c>
      <c r="T57" s="6">
        <v>1</v>
      </c>
      <c r="U57" s="1" t="s">
        <v>1488</v>
      </c>
      <c r="W57" s="1" t="s">
        <v>1490</v>
      </c>
    </row>
    <row r="58" spans="1:169" x14ac:dyDescent="0.2">
      <c r="A58" s="1" t="s">
        <v>1492</v>
      </c>
      <c r="B58" s="1" t="s">
        <v>55</v>
      </c>
      <c r="C58" s="1" t="s">
        <v>1471</v>
      </c>
      <c r="D58" s="1" t="s">
        <v>2</v>
      </c>
      <c r="E58" s="1">
        <v>23</v>
      </c>
      <c r="F58" s="1" t="s">
        <v>1472</v>
      </c>
      <c r="H58" s="1" t="s">
        <v>1493</v>
      </c>
      <c r="I58" s="1" t="s">
        <v>11</v>
      </c>
      <c r="J58" s="1" t="s">
        <v>1474</v>
      </c>
      <c r="K58" s="1" t="s">
        <v>1475</v>
      </c>
      <c r="L58" s="1" t="s">
        <v>1474</v>
      </c>
      <c r="N58" s="1" t="s">
        <v>1476</v>
      </c>
      <c r="O58" s="1">
        <v>1</v>
      </c>
      <c r="Q58" s="1">
        <v>2004</v>
      </c>
      <c r="R58" s="1" t="s">
        <v>1477</v>
      </c>
      <c r="S58" s="1" t="s">
        <v>27</v>
      </c>
      <c r="T58" s="6">
        <v>1</v>
      </c>
      <c r="U58" s="1" t="s">
        <v>1494</v>
      </c>
      <c r="W58" s="1" t="s">
        <v>1496</v>
      </c>
    </row>
    <row r="59" spans="1:169" x14ac:dyDescent="0.2">
      <c r="A59" s="1" t="s">
        <v>1498</v>
      </c>
      <c r="B59" s="1" t="s">
        <v>55</v>
      </c>
      <c r="C59" s="1" t="s">
        <v>1471</v>
      </c>
      <c r="D59" s="1" t="s">
        <v>2</v>
      </c>
      <c r="E59" s="1">
        <v>23</v>
      </c>
      <c r="F59" s="1" t="s">
        <v>1472</v>
      </c>
      <c r="H59" s="1" t="s">
        <v>1499</v>
      </c>
      <c r="I59" s="1" t="s">
        <v>11</v>
      </c>
      <c r="J59" s="1" t="s">
        <v>1474</v>
      </c>
      <c r="K59" s="1" t="s">
        <v>1475</v>
      </c>
      <c r="L59" s="1" t="s">
        <v>1474</v>
      </c>
      <c r="N59" s="1" t="s">
        <v>1500</v>
      </c>
      <c r="O59" s="1">
        <v>1</v>
      </c>
      <c r="Q59" s="1">
        <v>2004</v>
      </c>
      <c r="R59" s="1" t="s">
        <v>1477</v>
      </c>
      <c r="S59" s="1" t="s">
        <v>27</v>
      </c>
      <c r="T59" s="6">
        <v>1</v>
      </c>
      <c r="U59" s="1">
        <v>65.83</v>
      </c>
      <c r="W59" s="1">
        <v>5.95</v>
      </c>
    </row>
    <row r="60" spans="1:169" x14ac:dyDescent="0.2">
      <c r="A60" s="1" t="s">
        <v>1501</v>
      </c>
      <c r="B60" s="1" t="s">
        <v>55</v>
      </c>
      <c r="C60" s="1" t="s">
        <v>1471</v>
      </c>
      <c r="D60" s="1" t="s">
        <v>2</v>
      </c>
      <c r="E60" s="1">
        <v>23</v>
      </c>
      <c r="F60" s="1" t="s">
        <v>1472</v>
      </c>
      <c r="H60" s="1" t="s">
        <v>1502</v>
      </c>
      <c r="I60" s="1" t="s">
        <v>11</v>
      </c>
      <c r="J60" s="1" t="s">
        <v>1474</v>
      </c>
      <c r="K60" s="1" t="s">
        <v>1475</v>
      </c>
      <c r="L60" s="1" t="s">
        <v>1474</v>
      </c>
      <c r="N60" s="1" t="s">
        <v>1503</v>
      </c>
      <c r="O60" s="1">
        <v>1</v>
      </c>
      <c r="Q60" s="1">
        <v>2004</v>
      </c>
      <c r="R60" s="1" t="s">
        <v>1477</v>
      </c>
      <c r="S60" s="1" t="s">
        <v>27</v>
      </c>
      <c r="T60" s="6">
        <v>1</v>
      </c>
      <c r="U60" s="1">
        <v>63.52</v>
      </c>
      <c r="W60" s="1">
        <v>4.5199999999999996</v>
      </c>
    </row>
    <row r="61" spans="1:169" x14ac:dyDescent="0.2">
      <c r="A61" s="1" t="s">
        <v>1504</v>
      </c>
      <c r="B61" s="1" t="s">
        <v>55</v>
      </c>
      <c r="C61" s="1" t="s">
        <v>236</v>
      </c>
      <c r="D61" s="1" t="s">
        <v>2</v>
      </c>
      <c r="E61" s="1">
        <v>21</v>
      </c>
      <c r="F61" s="1" t="s">
        <v>1505</v>
      </c>
      <c r="H61" s="1" t="s">
        <v>1506</v>
      </c>
      <c r="I61" s="1" t="s">
        <v>7</v>
      </c>
      <c r="J61" s="1" t="s">
        <v>1507</v>
      </c>
      <c r="K61" s="1" t="s">
        <v>1508</v>
      </c>
      <c r="L61" s="1" t="s">
        <v>1509</v>
      </c>
      <c r="N61" s="1" t="s">
        <v>1510</v>
      </c>
      <c r="Q61" s="1">
        <v>2005</v>
      </c>
      <c r="R61" s="1" t="s">
        <v>1511</v>
      </c>
      <c r="S61" s="1" t="s">
        <v>27</v>
      </c>
      <c r="T61" s="6">
        <v>1</v>
      </c>
      <c r="U61" s="1" t="s">
        <v>1512</v>
      </c>
      <c r="W61" s="1" t="s">
        <v>1514</v>
      </c>
    </row>
    <row r="62" spans="1:169" x14ac:dyDescent="0.2">
      <c r="A62" s="1" t="s">
        <v>1516</v>
      </c>
      <c r="B62" s="1" t="s">
        <v>55</v>
      </c>
      <c r="C62" s="1" t="s">
        <v>236</v>
      </c>
      <c r="D62" s="1" t="s">
        <v>2</v>
      </c>
      <c r="E62" s="1">
        <v>21</v>
      </c>
      <c r="F62" s="1" t="s">
        <v>1517</v>
      </c>
      <c r="H62" s="1" t="s">
        <v>1518</v>
      </c>
      <c r="I62" s="1" t="s">
        <v>7</v>
      </c>
      <c r="J62" s="1" t="s">
        <v>1519</v>
      </c>
      <c r="K62" s="1" t="s">
        <v>1520</v>
      </c>
      <c r="L62" s="1" t="s">
        <v>1521</v>
      </c>
      <c r="N62" s="1" t="s">
        <v>1522</v>
      </c>
      <c r="Q62" s="1">
        <v>2005</v>
      </c>
      <c r="R62" s="1" t="s">
        <v>1511</v>
      </c>
      <c r="S62" s="1" t="s">
        <v>27</v>
      </c>
      <c r="T62" s="6">
        <v>1</v>
      </c>
      <c r="U62" s="1" t="s">
        <v>1523</v>
      </c>
      <c r="W62" s="1" t="s">
        <v>1525</v>
      </c>
    </row>
    <row r="63" spans="1:169" x14ac:dyDescent="0.2">
      <c r="A63" s="1" t="s">
        <v>1527</v>
      </c>
      <c r="B63" s="1" t="s">
        <v>55</v>
      </c>
      <c r="C63" s="1" t="s">
        <v>1528</v>
      </c>
      <c r="D63" s="1" t="s">
        <v>2</v>
      </c>
      <c r="E63" s="1">
        <v>22</v>
      </c>
      <c r="F63" s="1" t="s">
        <v>1529</v>
      </c>
      <c r="H63" s="1" t="s">
        <v>1530</v>
      </c>
      <c r="I63" s="1" t="s">
        <v>7</v>
      </c>
      <c r="J63" s="1" t="s">
        <v>1531</v>
      </c>
      <c r="K63" s="1" t="s">
        <v>1532</v>
      </c>
      <c r="L63" s="1" t="s">
        <v>1531</v>
      </c>
      <c r="N63" s="1" t="s">
        <v>1533</v>
      </c>
      <c r="P63" s="1" t="s">
        <v>1534</v>
      </c>
      <c r="Q63" s="1">
        <v>1981</v>
      </c>
      <c r="R63" s="1" t="s">
        <v>1535</v>
      </c>
      <c r="S63" s="1" t="s">
        <v>27</v>
      </c>
      <c r="T63" s="6">
        <v>1</v>
      </c>
      <c r="U63" s="1">
        <v>67.3</v>
      </c>
      <c r="W63" s="1">
        <v>14.7</v>
      </c>
      <c r="Y63" s="1">
        <v>3.8951927</v>
      </c>
      <c r="Z63" s="1">
        <v>7.1796408999999999</v>
      </c>
      <c r="AA63" s="1">
        <v>2.0901033999999998</v>
      </c>
      <c r="AD63" s="1">
        <v>0.92327210884353705</v>
      </c>
      <c r="AW63" s="1">
        <v>0.76003759999999998</v>
      </c>
      <c r="BA63" s="1">
        <v>2.7415642</v>
      </c>
      <c r="BG63" s="1">
        <v>0.39359090000000002</v>
      </c>
      <c r="CA63" s="1">
        <v>2.1308197</v>
      </c>
      <c r="CQ63" s="1">
        <v>4.7909512999999997</v>
      </c>
      <c r="CZ63" s="1">
        <v>0.25786989999999999</v>
      </c>
      <c r="DN63" s="1">
        <v>9.5004699999999997E-2</v>
      </c>
      <c r="EX63" s="1">
        <v>0.16286519999999999</v>
      </c>
      <c r="FA63" s="1">
        <v>0.1085768</v>
      </c>
      <c r="FE63" s="1">
        <v>0.3121583</v>
      </c>
      <c r="FI63" s="1">
        <v>0.1085768</v>
      </c>
      <c r="FJ63" s="1">
        <v>0.27144200000000002</v>
      </c>
      <c r="FM63" s="1">
        <v>0.95004699999999997</v>
      </c>
    </row>
    <row r="64" spans="1:169" x14ac:dyDescent="0.2">
      <c r="A64" s="1" t="s">
        <v>1536</v>
      </c>
      <c r="B64" s="1" t="s">
        <v>55</v>
      </c>
      <c r="C64" s="1" t="s">
        <v>1537</v>
      </c>
      <c r="D64" s="1" t="s">
        <v>2</v>
      </c>
      <c r="E64" s="1">
        <v>13</v>
      </c>
      <c r="F64" s="1" t="s">
        <v>1538</v>
      </c>
      <c r="G64" s="1" t="s">
        <v>1539</v>
      </c>
      <c r="H64" s="1" t="s">
        <v>1540</v>
      </c>
      <c r="I64" s="1" t="s">
        <v>7</v>
      </c>
      <c r="J64" s="1" t="s">
        <v>1541</v>
      </c>
      <c r="K64" s="1" t="s">
        <v>1542</v>
      </c>
      <c r="L64" s="1" t="s">
        <v>1541</v>
      </c>
      <c r="M64" s="1" t="s">
        <v>1543</v>
      </c>
      <c r="N64" s="1" t="s">
        <v>1544</v>
      </c>
      <c r="Q64" s="1">
        <v>2010</v>
      </c>
      <c r="R64" s="1" t="s">
        <v>1545</v>
      </c>
      <c r="S64" s="1" t="s">
        <v>27</v>
      </c>
      <c r="T64" s="6">
        <v>1</v>
      </c>
      <c r="U64" s="1">
        <v>79.41</v>
      </c>
      <c r="W64" s="1">
        <v>0.56000000000000005</v>
      </c>
    </row>
    <row r="65" spans="1:169" x14ac:dyDescent="0.2">
      <c r="A65" s="1" t="s">
        <v>1546</v>
      </c>
      <c r="B65" s="1" t="s">
        <v>55</v>
      </c>
      <c r="C65" s="1" t="s">
        <v>1537</v>
      </c>
      <c r="D65" s="1" t="s">
        <v>2</v>
      </c>
      <c r="E65" s="1">
        <v>13</v>
      </c>
      <c r="F65" s="1" t="s">
        <v>1538</v>
      </c>
      <c r="G65" s="1" t="s">
        <v>1539</v>
      </c>
      <c r="H65" s="1" t="s">
        <v>1540</v>
      </c>
      <c r="I65" s="1" t="s">
        <v>7</v>
      </c>
      <c r="J65" s="1" t="s">
        <v>1541</v>
      </c>
      <c r="K65" s="1" t="s">
        <v>1542</v>
      </c>
      <c r="L65" s="1" t="s">
        <v>1541</v>
      </c>
      <c r="M65" s="1" t="s">
        <v>1547</v>
      </c>
      <c r="N65" s="1" t="s">
        <v>1548</v>
      </c>
      <c r="Q65" s="1">
        <v>2010</v>
      </c>
      <c r="R65" s="1" t="s">
        <v>1545</v>
      </c>
      <c r="S65" s="1" t="s">
        <v>27</v>
      </c>
      <c r="T65" s="6">
        <v>1</v>
      </c>
      <c r="U65" s="1">
        <v>77.790000000000006</v>
      </c>
      <c r="W65" s="1">
        <v>0.56000000000000005</v>
      </c>
    </row>
    <row r="66" spans="1:169" x14ac:dyDescent="0.2">
      <c r="A66" s="1" t="s">
        <v>1549</v>
      </c>
      <c r="B66" s="1" t="s">
        <v>55</v>
      </c>
      <c r="C66" s="1" t="s">
        <v>1550</v>
      </c>
      <c r="E66" s="1">
        <v>12</v>
      </c>
      <c r="F66" s="1" t="s">
        <v>1551</v>
      </c>
      <c r="H66" s="1" t="s">
        <v>1552</v>
      </c>
      <c r="I66" s="1" t="s">
        <v>7</v>
      </c>
      <c r="J66" s="1" t="s">
        <v>1553</v>
      </c>
      <c r="K66" s="1" t="s">
        <v>1554</v>
      </c>
      <c r="L66" s="1" t="s">
        <v>1553</v>
      </c>
      <c r="N66" s="1" t="s">
        <v>1555</v>
      </c>
      <c r="Q66" s="1">
        <v>1996</v>
      </c>
      <c r="R66" s="1" t="s">
        <v>1556</v>
      </c>
      <c r="S66" s="1" t="s">
        <v>27</v>
      </c>
      <c r="T66" s="6">
        <v>1</v>
      </c>
      <c r="U66" s="1">
        <v>78.3</v>
      </c>
      <c r="V66" s="1">
        <v>2.2999999999999998</v>
      </c>
    </row>
    <row r="67" spans="1:169" x14ac:dyDescent="0.2">
      <c r="A67" s="1" t="s">
        <v>1557</v>
      </c>
      <c r="B67" s="1" t="s">
        <v>55</v>
      </c>
      <c r="C67" s="1" t="s">
        <v>1558</v>
      </c>
      <c r="E67" s="1">
        <v>13</v>
      </c>
      <c r="F67" s="1" t="s">
        <v>1559</v>
      </c>
      <c r="G67" s="1" t="s">
        <v>1560</v>
      </c>
      <c r="H67" s="1" t="s">
        <v>1561</v>
      </c>
      <c r="I67" s="1" t="s">
        <v>7</v>
      </c>
      <c r="J67" s="1" t="s">
        <v>1562</v>
      </c>
      <c r="K67" s="1" t="s">
        <v>1563</v>
      </c>
      <c r="L67" s="1" t="s">
        <v>1564</v>
      </c>
      <c r="N67" s="1" t="s">
        <v>1565</v>
      </c>
      <c r="Q67" s="1">
        <v>1996</v>
      </c>
      <c r="R67" s="1" t="s">
        <v>1556</v>
      </c>
      <c r="S67" s="1" t="s">
        <v>27</v>
      </c>
      <c r="T67" s="6">
        <v>1</v>
      </c>
      <c r="U67" s="1" t="s">
        <v>1566</v>
      </c>
      <c r="V67" s="1" t="s">
        <v>1568</v>
      </c>
    </row>
    <row r="68" spans="1:169" x14ac:dyDescent="0.2">
      <c r="A68" s="1" t="s">
        <v>1571</v>
      </c>
      <c r="B68" s="1" t="s">
        <v>55</v>
      </c>
      <c r="C68" s="1" t="s">
        <v>1550</v>
      </c>
      <c r="E68" s="1">
        <v>13</v>
      </c>
      <c r="F68" s="1" t="s">
        <v>1572</v>
      </c>
      <c r="G68" s="1" t="s">
        <v>1573</v>
      </c>
      <c r="H68" s="1" t="s">
        <v>1574</v>
      </c>
      <c r="I68" s="1" t="s">
        <v>7</v>
      </c>
      <c r="J68" s="1" t="s">
        <v>1575</v>
      </c>
      <c r="K68" s="1" t="s">
        <v>1576</v>
      </c>
      <c r="L68" s="1" t="s">
        <v>1575</v>
      </c>
      <c r="N68" s="1" t="s">
        <v>1577</v>
      </c>
      <c r="Q68" s="1">
        <v>1996</v>
      </c>
      <c r="R68" s="1" t="s">
        <v>1556</v>
      </c>
      <c r="S68" s="1" t="s">
        <v>27</v>
      </c>
      <c r="T68" s="6">
        <v>1</v>
      </c>
      <c r="U68" s="1">
        <v>81.3</v>
      </c>
      <c r="V68" s="1">
        <v>0.1</v>
      </c>
    </row>
    <row r="69" spans="1:169" x14ac:dyDescent="0.2">
      <c r="A69" s="1" t="s">
        <v>1582</v>
      </c>
      <c r="B69" s="1" t="s">
        <v>55</v>
      </c>
      <c r="C69" s="1" t="s">
        <v>1583</v>
      </c>
      <c r="E69" s="1">
        <v>33</v>
      </c>
      <c r="F69" s="1" t="s">
        <v>1584</v>
      </c>
      <c r="H69" s="1" t="s">
        <v>1585</v>
      </c>
      <c r="I69" s="1" t="s">
        <v>7</v>
      </c>
      <c r="J69" s="1" t="s">
        <v>1586</v>
      </c>
      <c r="K69" s="1" t="s">
        <v>1587</v>
      </c>
      <c r="L69" s="1" t="s">
        <v>1586</v>
      </c>
      <c r="P69" s="1" t="s">
        <v>1270</v>
      </c>
      <c r="Q69" s="1">
        <v>2007</v>
      </c>
      <c r="R69" s="1" t="s">
        <v>1588</v>
      </c>
      <c r="S69" s="1" t="s">
        <v>27</v>
      </c>
      <c r="T69" s="6">
        <v>1</v>
      </c>
      <c r="V69" s="1">
        <v>2.14</v>
      </c>
      <c r="Y69" s="1">
        <v>0.70437559999999999</v>
      </c>
      <c r="Z69" s="1">
        <v>0.44857604000000001</v>
      </c>
      <c r="AA69" s="1">
        <v>0.46711224000000001</v>
      </c>
      <c r="AB69" s="1">
        <v>0.23355612000000001</v>
      </c>
      <c r="AD69" s="1">
        <v>0.86617757009345797</v>
      </c>
      <c r="AF69" s="1">
        <v>0.41891812</v>
      </c>
      <c r="AG69" s="1">
        <v>4.0408916000000003E-2</v>
      </c>
      <c r="AU69" s="1">
        <v>1.112172E-3</v>
      </c>
      <c r="AV69" s="1">
        <v>7.4144800000000002E-4</v>
      </c>
      <c r="AW69" s="1">
        <v>6.6544958000000001E-2</v>
      </c>
      <c r="AY69" s="1">
        <v>9.8241860000000004E-3</v>
      </c>
      <c r="BA69" s="1">
        <v>0.47267310000000001</v>
      </c>
      <c r="BD69" s="1">
        <v>1.297534E-2</v>
      </c>
      <c r="BG69" s="1">
        <v>0.11992921400000001</v>
      </c>
      <c r="BI69" s="1">
        <v>1.2419253999999999E-2</v>
      </c>
      <c r="BK69" s="1">
        <v>4.4486880000000001E-3</v>
      </c>
      <c r="BL69" s="1">
        <v>3.3365159999999999E-3</v>
      </c>
      <c r="BM69" s="1">
        <v>3.3365159999999999E-3</v>
      </c>
      <c r="BS69" s="1">
        <v>1.8536200000000001E-3</v>
      </c>
      <c r="BV69" s="1">
        <v>1.482896E-3</v>
      </c>
      <c r="CA69" s="1">
        <v>0.174981728</v>
      </c>
      <c r="CF69" s="1">
        <v>3.1511540000000002E-3</v>
      </c>
      <c r="CK69" s="1">
        <v>0.26136041999999998</v>
      </c>
      <c r="CZ69" s="1">
        <v>3.3365159999999999E-3</v>
      </c>
      <c r="DB69" s="1">
        <v>1.112172E-3</v>
      </c>
      <c r="DF69" s="1">
        <v>1.2975339999999999E-3</v>
      </c>
      <c r="DN69" s="1">
        <v>2.4838507999999999E-2</v>
      </c>
      <c r="DU69" s="1">
        <v>6.6730319999999997E-3</v>
      </c>
      <c r="DX69" s="1">
        <v>1.482896E-3</v>
      </c>
      <c r="ED69" s="1">
        <v>5.5608599999999999E-3</v>
      </c>
      <c r="EH69" s="1">
        <v>1.2419253999999999E-2</v>
      </c>
      <c r="EK69" s="1">
        <v>4.0779639999999999E-3</v>
      </c>
      <c r="EL69" s="1">
        <v>6.0984098E-2</v>
      </c>
      <c r="ET69" s="1">
        <v>1.482896E-3</v>
      </c>
      <c r="EX69" s="1">
        <v>5.9315840000000002E-3</v>
      </c>
      <c r="FE69" s="1">
        <v>7.8408125999999995E-2</v>
      </c>
      <c r="FM69" s="1">
        <v>0.26692127999999998</v>
      </c>
    </row>
    <row r="70" spans="1:169" x14ac:dyDescent="0.2">
      <c r="A70" s="1" t="s">
        <v>1589</v>
      </c>
      <c r="B70" s="1" t="s">
        <v>55</v>
      </c>
      <c r="C70" s="1" t="s">
        <v>1583</v>
      </c>
      <c r="E70" s="1">
        <v>34</v>
      </c>
      <c r="F70" s="1" t="s">
        <v>1590</v>
      </c>
      <c r="H70" s="1" t="s">
        <v>1591</v>
      </c>
      <c r="I70" s="1" t="s">
        <v>7</v>
      </c>
      <c r="J70" s="1" t="s">
        <v>1592</v>
      </c>
      <c r="K70" s="1" t="s">
        <v>1593</v>
      </c>
      <c r="L70" s="1" t="s">
        <v>1594</v>
      </c>
      <c r="P70" s="1" t="s">
        <v>1270</v>
      </c>
      <c r="Q70" s="1">
        <v>2007</v>
      </c>
      <c r="R70" s="1" t="s">
        <v>1588</v>
      </c>
      <c r="S70" s="1" t="s">
        <v>27</v>
      </c>
      <c r="T70" s="6">
        <v>1</v>
      </c>
      <c r="V70" s="1">
        <v>1.59</v>
      </c>
      <c r="Y70" s="1">
        <v>0.40616240999999997</v>
      </c>
      <c r="Z70" s="1">
        <v>0.38873629999999998</v>
      </c>
      <c r="AA70" s="1">
        <v>0.36594831</v>
      </c>
      <c r="AB70" s="1">
        <v>0.17962297999999999</v>
      </c>
      <c r="AD70" s="1">
        <v>0.84306289308176097</v>
      </c>
      <c r="AF70" s="1">
        <v>0.34718173000000002</v>
      </c>
      <c r="AG70" s="1">
        <v>1.4611123E-2</v>
      </c>
      <c r="AU70" s="1">
        <v>2.0107049999999998E-3</v>
      </c>
      <c r="AV70" s="1">
        <v>2.6809400000000003E-4</v>
      </c>
      <c r="AW70" s="1">
        <v>3.6326736999999998E-2</v>
      </c>
      <c r="AY70" s="1">
        <v>6.3002090000000002E-3</v>
      </c>
      <c r="BA70" s="1">
        <v>0.27077494000000002</v>
      </c>
      <c r="BD70" s="1">
        <v>1.0187572000000001E-2</v>
      </c>
      <c r="BG70" s="1">
        <v>7.4396085000000001E-2</v>
      </c>
      <c r="BI70" s="1">
        <v>2.9490340000000001E-3</v>
      </c>
      <c r="BK70" s="1">
        <v>1.4745170000000001E-3</v>
      </c>
      <c r="BL70" s="1">
        <v>1.7828251E-2</v>
      </c>
      <c r="BM70" s="1">
        <v>1.0723760000000001E-3</v>
      </c>
      <c r="BS70" s="1">
        <v>2.8149870000000001E-3</v>
      </c>
      <c r="BV70" s="1">
        <v>1.4745170000000001E-3</v>
      </c>
      <c r="CA70" s="1">
        <v>0.102277861</v>
      </c>
      <c r="CF70" s="1">
        <v>7.5066320000000001E-3</v>
      </c>
      <c r="CK70" s="1">
        <v>0.27077494000000002</v>
      </c>
      <c r="CZ70" s="1">
        <v>2.6809400000000001E-3</v>
      </c>
      <c r="DB70" s="1">
        <v>1.0723760000000001E-3</v>
      </c>
      <c r="DF70" s="1">
        <v>1.3404700000000001E-3</v>
      </c>
      <c r="DN70" s="1">
        <v>9.9194780000000007E-3</v>
      </c>
      <c r="DU70" s="1">
        <v>4.0214099999999996E-3</v>
      </c>
      <c r="DX70" s="1">
        <v>1.0723760000000001E-3</v>
      </c>
      <c r="ED70" s="1">
        <v>1.3404700000000001E-3</v>
      </c>
      <c r="EH70" s="1">
        <v>4.2895040000000004E-3</v>
      </c>
      <c r="EK70" s="1">
        <v>1.3404700000000001E-3</v>
      </c>
      <c r="EL70" s="1">
        <v>4.0482193999999999E-2</v>
      </c>
      <c r="ET70" s="1">
        <v>5.3618800000000005E-4</v>
      </c>
      <c r="EX70" s="1">
        <v>2.0107049999999998E-3</v>
      </c>
      <c r="FE70" s="1">
        <v>7.3189662000000003E-2</v>
      </c>
      <c r="FM70" s="1">
        <v>0.2278799</v>
      </c>
    </row>
    <row r="71" spans="1:169" x14ac:dyDescent="0.2">
      <c r="A71" s="1" t="s">
        <v>1595</v>
      </c>
      <c r="B71" s="1" t="s">
        <v>55</v>
      </c>
      <c r="C71" s="1" t="s">
        <v>1583</v>
      </c>
      <c r="E71" s="1">
        <v>32</v>
      </c>
      <c r="F71" s="1" t="s">
        <v>1596</v>
      </c>
      <c r="H71" s="1" t="s">
        <v>1597</v>
      </c>
      <c r="I71" s="1" t="s">
        <v>7</v>
      </c>
      <c r="J71" s="1" t="s">
        <v>1598</v>
      </c>
      <c r="K71" s="1" t="s">
        <v>1599</v>
      </c>
      <c r="L71" s="1" t="s">
        <v>1598</v>
      </c>
      <c r="P71" s="1" t="s">
        <v>1270</v>
      </c>
      <c r="Q71" s="1">
        <v>2007</v>
      </c>
      <c r="R71" s="1" t="s">
        <v>1588</v>
      </c>
      <c r="S71" s="1" t="s">
        <v>27</v>
      </c>
      <c r="T71" s="6">
        <v>1</v>
      </c>
      <c r="V71" s="1">
        <v>1.2</v>
      </c>
      <c r="Y71" s="1">
        <v>0.28907359999999999</v>
      </c>
      <c r="Z71" s="1">
        <v>0.18750720000000001</v>
      </c>
      <c r="AA71" s="1">
        <v>0.38673360000000001</v>
      </c>
      <c r="AB71" s="1">
        <v>0.11426219999999999</v>
      </c>
      <c r="AD71" s="1">
        <v>0.81383333333333296</v>
      </c>
      <c r="AF71" s="1">
        <v>0.36231859999999999</v>
      </c>
      <c r="AG71" s="1">
        <v>2.1094559999999998E-2</v>
      </c>
      <c r="AU71" s="1">
        <v>5.8595999999999995E-4</v>
      </c>
      <c r="AV71" s="1">
        <v>3.9063999999999999E-4</v>
      </c>
      <c r="AW71" s="1">
        <v>2.8223740000000001E-2</v>
      </c>
      <c r="AY71" s="1">
        <v>7.0315200000000003E-3</v>
      </c>
      <c r="BA71" s="1">
        <v>0.1894604</v>
      </c>
      <c r="BD71" s="1">
        <v>7.6174800000000003E-3</v>
      </c>
      <c r="BG71" s="1">
        <v>4.9806599999999999E-2</v>
      </c>
      <c r="BI71" s="1">
        <v>2.24618E-3</v>
      </c>
      <c r="BK71" s="1">
        <v>9.7659999999999999E-4</v>
      </c>
      <c r="BL71" s="1">
        <v>2.5098619999999999E-2</v>
      </c>
      <c r="BM71" s="1">
        <v>1.36724E-3</v>
      </c>
      <c r="BS71" s="1">
        <v>3.9063999999999999E-4</v>
      </c>
      <c r="BV71" s="1">
        <v>6.8362000000000002E-4</v>
      </c>
      <c r="CA71" s="1">
        <v>3.9942940000000003E-2</v>
      </c>
      <c r="CF71" s="1">
        <v>4.8830000000000002E-3</v>
      </c>
      <c r="CK71" s="1">
        <v>0.1386772</v>
      </c>
      <c r="CZ71" s="1">
        <v>1.66022E-3</v>
      </c>
      <c r="DB71" s="1">
        <v>4.883E-4</v>
      </c>
      <c r="DF71" s="1">
        <v>8.7894000000000004E-4</v>
      </c>
      <c r="DN71" s="1">
        <v>1.7090500000000002E-2</v>
      </c>
      <c r="DU71" s="1">
        <v>2.8321399999999999E-3</v>
      </c>
      <c r="DX71" s="1">
        <v>6.8362000000000002E-4</v>
      </c>
      <c r="ED71" s="1">
        <v>2.3438399999999998E-3</v>
      </c>
      <c r="EH71" s="1">
        <v>7.22684E-3</v>
      </c>
      <c r="EK71" s="1">
        <v>6.8362000000000002E-4</v>
      </c>
      <c r="EL71" s="1">
        <v>1.728582E-2</v>
      </c>
      <c r="ET71" s="1">
        <v>5.8595999999999995E-4</v>
      </c>
      <c r="EX71" s="1">
        <v>9.7659999999999999E-4</v>
      </c>
      <c r="FE71" s="1">
        <v>6.1818779999999997E-2</v>
      </c>
      <c r="FM71" s="1">
        <v>0.27540120000000001</v>
      </c>
    </row>
    <row r="72" spans="1:169" x14ac:dyDescent="0.2">
      <c r="A72" s="1" t="s">
        <v>1600</v>
      </c>
      <c r="B72" s="1" t="s">
        <v>55</v>
      </c>
      <c r="C72" s="1" t="s">
        <v>1583</v>
      </c>
      <c r="E72" s="1">
        <v>37</v>
      </c>
      <c r="F72" s="1" t="s">
        <v>1601</v>
      </c>
      <c r="H72" s="1" t="s">
        <v>1602</v>
      </c>
      <c r="I72" s="1" t="s">
        <v>7</v>
      </c>
      <c r="J72" s="1" t="s">
        <v>1603</v>
      </c>
      <c r="K72" s="1" t="s">
        <v>1604</v>
      </c>
      <c r="L72" s="1" t="s">
        <v>1603</v>
      </c>
      <c r="P72" s="1" t="s">
        <v>1270</v>
      </c>
      <c r="Q72" s="1">
        <v>2007</v>
      </c>
      <c r="R72" s="1" t="s">
        <v>1588</v>
      </c>
      <c r="S72" s="1" t="s">
        <v>27</v>
      </c>
      <c r="T72" s="6">
        <v>1</v>
      </c>
      <c r="V72" s="1">
        <v>1.1599999999999999</v>
      </c>
      <c r="Y72" s="1">
        <v>0.24327351999999999</v>
      </c>
      <c r="Z72" s="1">
        <v>0.13431704</v>
      </c>
      <c r="AA72" s="1">
        <v>0.45273296000000002</v>
      </c>
      <c r="AB72" s="1">
        <v>0.10895647999999999</v>
      </c>
      <c r="AD72" s="1">
        <v>0.80972413793103404</v>
      </c>
      <c r="AF72" s="1">
        <v>0.40952608000000001</v>
      </c>
      <c r="AG72" s="1">
        <v>3.851048E-2</v>
      </c>
      <c r="AU72" s="1">
        <v>5.6356799999999997E-4</v>
      </c>
      <c r="AV72" s="1">
        <v>4.6964000000000001E-4</v>
      </c>
      <c r="AW72" s="1">
        <v>2.0570232000000001E-2</v>
      </c>
      <c r="AY72" s="1">
        <v>5.3538960000000003E-3</v>
      </c>
      <c r="BA72" s="1">
        <v>0.1361956</v>
      </c>
      <c r="BD72" s="1">
        <v>7.326384E-3</v>
      </c>
      <c r="BG72" s="1">
        <v>6.7346375999999999E-2</v>
      </c>
      <c r="BI72" s="1">
        <v>2.5360560000000001E-3</v>
      </c>
      <c r="BK72" s="1">
        <v>1.3149920000000001E-3</v>
      </c>
      <c r="BL72" s="1">
        <v>2.4139496E-2</v>
      </c>
      <c r="BM72" s="1">
        <v>1.221064E-3</v>
      </c>
      <c r="BS72" s="1">
        <v>4.6964000000000001E-4</v>
      </c>
      <c r="BV72" s="1">
        <v>3.75712E-4</v>
      </c>
      <c r="CA72" s="1">
        <v>2.6769479999999998E-2</v>
      </c>
      <c r="CF72" s="1">
        <v>2.9117679999999999E-3</v>
      </c>
      <c r="CK72" s="1">
        <v>9.8624400000000001E-2</v>
      </c>
      <c r="CZ72" s="1">
        <v>4.3206879999999996E-3</v>
      </c>
      <c r="DB72" s="1">
        <v>9.3928000000000002E-4</v>
      </c>
      <c r="DF72" s="1">
        <v>0</v>
      </c>
      <c r="DN72" s="1">
        <v>3.2499088000000002E-2</v>
      </c>
      <c r="DU72" s="1">
        <v>3.005696E-3</v>
      </c>
      <c r="DX72" s="1">
        <v>1.502848E-3</v>
      </c>
      <c r="ED72" s="1">
        <v>3.663192E-3</v>
      </c>
      <c r="EH72" s="1">
        <v>6.7628159999999996E-3</v>
      </c>
      <c r="EK72" s="1">
        <v>1.1271359999999999E-3</v>
      </c>
      <c r="EL72" s="1">
        <v>2.7051263999999998E-2</v>
      </c>
      <c r="ET72" s="1">
        <v>8.4535199999999995E-4</v>
      </c>
      <c r="EX72" s="1">
        <v>1.221064E-3</v>
      </c>
      <c r="FE72" s="1">
        <v>4.4521871999999997E-2</v>
      </c>
      <c r="FM72" s="1">
        <v>0.33062656000000001</v>
      </c>
    </row>
    <row r="73" spans="1:169" x14ac:dyDescent="0.2">
      <c r="A73" s="1" t="s">
        <v>1605</v>
      </c>
      <c r="B73" s="1" t="s">
        <v>55</v>
      </c>
      <c r="C73" s="1" t="s">
        <v>1583</v>
      </c>
      <c r="E73" s="1">
        <v>37</v>
      </c>
      <c r="F73" s="1" t="s">
        <v>1606</v>
      </c>
      <c r="H73" s="1" t="s">
        <v>1607</v>
      </c>
      <c r="I73" s="1" t="s">
        <v>7</v>
      </c>
      <c r="J73" s="1" t="s">
        <v>1608</v>
      </c>
      <c r="K73" s="1" t="s">
        <v>1609</v>
      </c>
      <c r="L73" s="1" t="s">
        <v>1610</v>
      </c>
      <c r="P73" s="1" t="s">
        <v>1611</v>
      </c>
      <c r="Q73" s="1">
        <v>2007</v>
      </c>
      <c r="R73" s="1" t="s">
        <v>1588</v>
      </c>
      <c r="S73" s="1" t="s">
        <v>27</v>
      </c>
      <c r="T73" s="6">
        <v>1</v>
      </c>
      <c r="V73" s="1">
        <v>1.01</v>
      </c>
      <c r="Y73" s="1">
        <v>0.23740101</v>
      </c>
      <c r="Z73" s="1">
        <v>0.10551156</v>
      </c>
      <c r="AA73" s="1">
        <v>0.37008978999999997</v>
      </c>
      <c r="AB73" s="1">
        <v>8.6327639999999997E-2</v>
      </c>
      <c r="AD73" s="1">
        <v>0.79141584158415801</v>
      </c>
      <c r="AF73" s="1">
        <v>0.35330386000000003</v>
      </c>
      <c r="AG73" s="1">
        <v>1.487E-2</v>
      </c>
      <c r="AU73" s="1">
        <v>0</v>
      </c>
      <c r="AV73" s="1">
        <v>7.9932999999999995E-5</v>
      </c>
      <c r="AW73" s="1">
        <v>1.1750151E-2</v>
      </c>
      <c r="AY73" s="1">
        <v>4.3163819999999997E-3</v>
      </c>
      <c r="BA73" s="1">
        <v>0.1518727</v>
      </c>
      <c r="BD73" s="1">
        <v>6.2347740000000002E-3</v>
      </c>
      <c r="BG73" s="1">
        <v>5.9470151999999998E-2</v>
      </c>
      <c r="BI73" s="1">
        <v>1.2789279999999999E-3</v>
      </c>
      <c r="BK73" s="1">
        <v>3.1973199999999998E-4</v>
      </c>
      <c r="BL73" s="1">
        <v>8.7926300000000003E-4</v>
      </c>
      <c r="BM73" s="1">
        <v>1.1190620000000001E-3</v>
      </c>
      <c r="BS73" s="1">
        <v>0</v>
      </c>
      <c r="BV73" s="1">
        <v>2.3979900000000001E-4</v>
      </c>
      <c r="CA73" s="1">
        <v>1.9743450999999999E-2</v>
      </c>
      <c r="CF73" s="1">
        <v>2.6377890000000002E-3</v>
      </c>
      <c r="CK73" s="1">
        <v>7.6575814000000006E-2</v>
      </c>
      <c r="CZ73" s="1">
        <v>5.8351089999999998E-3</v>
      </c>
      <c r="DB73" s="1">
        <v>7.1939699999999998E-4</v>
      </c>
      <c r="DF73" s="1">
        <v>0</v>
      </c>
      <c r="DN73" s="1">
        <v>1.1430419000000001E-2</v>
      </c>
      <c r="DU73" s="1">
        <v>2.0782579999999999E-3</v>
      </c>
      <c r="DX73" s="1">
        <v>0</v>
      </c>
      <c r="ED73" s="1">
        <v>2.0782579999999999E-3</v>
      </c>
      <c r="EH73" s="1">
        <v>3.0374540000000002E-3</v>
      </c>
      <c r="EK73" s="1">
        <v>7.9933000000000001E-4</v>
      </c>
      <c r="EL73" s="1">
        <v>2.6857487999999999E-2</v>
      </c>
      <c r="ET73" s="1">
        <v>0</v>
      </c>
      <c r="EX73" s="1">
        <v>5.5953100000000005E-4</v>
      </c>
      <c r="FE73" s="1">
        <v>3.4770855000000003E-2</v>
      </c>
      <c r="FM73" s="1">
        <v>0.28855813000000002</v>
      </c>
    </row>
    <row r="74" spans="1:169" x14ac:dyDescent="0.2">
      <c r="A74" s="1" t="s">
        <v>1612</v>
      </c>
      <c r="B74" s="1" t="s">
        <v>55</v>
      </c>
      <c r="C74" s="1" t="s">
        <v>1583</v>
      </c>
      <c r="E74" s="1">
        <v>33</v>
      </c>
      <c r="F74" s="1" t="s">
        <v>1298</v>
      </c>
      <c r="H74" s="1" t="s">
        <v>1613</v>
      </c>
      <c r="I74" s="1" t="s">
        <v>7</v>
      </c>
      <c r="J74" s="1" t="s">
        <v>1614</v>
      </c>
      <c r="K74" s="1" t="s">
        <v>1301</v>
      </c>
      <c r="L74" s="1" t="s">
        <v>1300</v>
      </c>
      <c r="P74" s="1" t="s">
        <v>1270</v>
      </c>
      <c r="Q74" s="1">
        <v>2007</v>
      </c>
      <c r="R74" s="1" t="s">
        <v>1588</v>
      </c>
      <c r="S74" s="1" t="s">
        <v>27</v>
      </c>
      <c r="T74" s="6">
        <v>1</v>
      </c>
      <c r="V74" s="1">
        <v>12.4</v>
      </c>
      <c r="Y74" s="1">
        <v>2.913681</v>
      </c>
      <c r="Z74" s="1">
        <v>3.1993360000000002</v>
      </c>
      <c r="AA74" s="1">
        <v>3.9420389999999998</v>
      </c>
      <c r="AB74" s="1">
        <v>1.3711439999999999</v>
      </c>
      <c r="AD74" s="1">
        <v>0.92146774193548397</v>
      </c>
      <c r="AF74" s="1">
        <v>2.9936644000000001</v>
      </c>
      <c r="AG74" s="1">
        <v>0.93123529999999999</v>
      </c>
      <c r="AU74" s="1">
        <v>4.57048E-3</v>
      </c>
      <c r="AV74" s="1">
        <v>3.42786E-3</v>
      </c>
      <c r="AW74" s="1">
        <v>0.51303637999999996</v>
      </c>
      <c r="AY74" s="1">
        <v>5.9416240000000002E-2</v>
      </c>
      <c r="BA74" s="1">
        <v>1.8396182000000001</v>
      </c>
      <c r="BD74" s="1">
        <v>4.1134320000000002E-2</v>
      </c>
      <c r="BG74" s="1">
        <v>0.35535482000000002</v>
      </c>
      <c r="BI74" s="1">
        <v>3.0850740000000001E-2</v>
      </c>
      <c r="BK74" s="1">
        <v>4.6847420000000001E-2</v>
      </c>
      <c r="BL74" s="1">
        <v>2.628026E-2</v>
      </c>
      <c r="BM74" s="1">
        <v>0</v>
      </c>
      <c r="BS74" s="1">
        <v>1.1426199999999999E-2</v>
      </c>
      <c r="BV74" s="1">
        <v>1.028358E-2</v>
      </c>
      <c r="CA74" s="1">
        <v>0.82839949999999996</v>
      </c>
      <c r="CF74" s="1">
        <v>3.1993359999999998E-2</v>
      </c>
      <c r="CK74" s="1">
        <v>2.2852399999999999</v>
      </c>
      <c r="CZ74" s="1">
        <v>1.5996679999999999E-2</v>
      </c>
      <c r="DB74" s="1">
        <v>1.4854060000000001E-2</v>
      </c>
      <c r="DF74" s="1">
        <v>0</v>
      </c>
      <c r="DN74" s="1">
        <v>0.85239452000000004</v>
      </c>
      <c r="DU74" s="1">
        <v>2.2852399999999998E-2</v>
      </c>
      <c r="DX74" s="1">
        <v>0</v>
      </c>
      <c r="ED74" s="1">
        <v>1.9424540000000001E-2</v>
      </c>
      <c r="EH74" s="1">
        <v>0.13939963999999999</v>
      </c>
      <c r="EK74" s="1">
        <v>1.371144E-2</v>
      </c>
      <c r="EL74" s="1">
        <v>4.6847420000000001E-2</v>
      </c>
      <c r="ET74" s="1">
        <v>4.456218E-2</v>
      </c>
      <c r="EX74" s="1">
        <v>4.5704799999999997E-2</v>
      </c>
      <c r="FE74" s="1">
        <v>0.77355373999999999</v>
      </c>
      <c r="FM74" s="1">
        <v>1.9881587999999999</v>
      </c>
    </row>
    <row r="75" spans="1:169" x14ac:dyDescent="0.2">
      <c r="A75" s="1" t="s">
        <v>1615</v>
      </c>
      <c r="B75" s="1" t="s">
        <v>55</v>
      </c>
      <c r="C75" s="1" t="s">
        <v>1583</v>
      </c>
      <c r="E75" s="1">
        <v>33</v>
      </c>
      <c r="F75" s="1" t="s">
        <v>1289</v>
      </c>
      <c r="H75" s="1" t="s">
        <v>1616</v>
      </c>
      <c r="I75" s="1" t="s">
        <v>7</v>
      </c>
      <c r="J75" s="1" t="s">
        <v>1291</v>
      </c>
      <c r="K75" s="1" t="s">
        <v>1292</v>
      </c>
      <c r="L75" s="1" t="s">
        <v>1291</v>
      </c>
      <c r="P75" s="1" t="s">
        <v>1270</v>
      </c>
      <c r="Q75" s="1">
        <v>2007</v>
      </c>
      <c r="R75" s="1" t="s">
        <v>1588</v>
      </c>
      <c r="S75" s="1" t="s">
        <v>27</v>
      </c>
      <c r="T75" s="6">
        <v>1</v>
      </c>
      <c r="V75" s="1">
        <v>3.02</v>
      </c>
      <c r="Y75" s="1">
        <v>0.69273693999999997</v>
      </c>
      <c r="Z75" s="1">
        <v>0.65796635999999997</v>
      </c>
      <c r="AA75" s="1">
        <v>1.05114138</v>
      </c>
      <c r="AB75" s="1">
        <v>0.27548998000000002</v>
      </c>
      <c r="AD75" s="1">
        <v>0.885649006622517</v>
      </c>
      <c r="AF75" s="1">
        <v>0.64726771999999999</v>
      </c>
      <c r="AG75" s="1">
        <v>0.38515104</v>
      </c>
      <c r="AU75" s="1">
        <v>5.3493200000000001E-4</v>
      </c>
      <c r="AV75" s="1">
        <v>2.67466E-4</v>
      </c>
      <c r="AW75" s="1">
        <v>8.6391518E-2</v>
      </c>
      <c r="AY75" s="1">
        <v>9.0938440000000002E-3</v>
      </c>
      <c r="BA75" s="1">
        <v>0.4145723</v>
      </c>
      <c r="BD75" s="1">
        <v>1.0698640000000001E-2</v>
      </c>
      <c r="BG75" s="1">
        <v>9.9497351999999997E-2</v>
      </c>
      <c r="BI75" s="1">
        <v>5.0818540000000002E-3</v>
      </c>
      <c r="BK75" s="1">
        <v>5.6702792000000002E-2</v>
      </c>
      <c r="BL75" s="1">
        <v>8.2914459999999992E-3</v>
      </c>
      <c r="BM75" s="1">
        <v>1.6047959999999999E-3</v>
      </c>
      <c r="BS75" s="1">
        <v>8.0239799999999996E-4</v>
      </c>
      <c r="BV75" s="1">
        <v>1.6047959999999999E-3</v>
      </c>
      <c r="CA75" s="1">
        <v>0.13480286399999999</v>
      </c>
      <c r="CF75" s="1">
        <v>6.6866499999999997E-3</v>
      </c>
      <c r="CK75" s="1">
        <v>0.42527093999999999</v>
      </c>
      <c r="CZ75" s="1">
        <v>8.5856585999999999E-2</v>
      </c>
      <c r="DB75" s="1">
        <v>1.872262E-3</v>
      </c>
      <c r="DF75" s="1">
        <v>0</v>
      </c>
      <c r="DN75" s="1">
        <v>0.37445240000000002</v>
      </c>
      <c r="DU75" s="1">
        <v>1.7385290000000001E-2</v>
      </c>
      <c r="DX75" s="1">
        <v>1.069864E-3</v>
      </c>
      <c r="ED75" s="1">
        <v>5.0818540000000002E-3</v>
      </c>
      <c r="EH75" s="1">
        <v>4.3062026000000003E-2</v>
      </c>
      <c r="EK75" s="1">
        <v>3.7445239999999999E-3</v>
      </c>
      <c r="EL75" s="1">
        <v>2.3804473999999999E-2</v>
      </c>
      <c r="ET75" s="1">
        <v>5.3493200000000001E-4</v>
      </c>
      <c r="EX75" s="1">
        <v>2.139728E-3</v>
      </c>
      <c r="FE75" s="1">
        <v>0.187761132</v>
      </c>
      <c r="FM75" s="1">
        <v>0.39317501999999999</v>
      </c>
    </row>
    <row r="76" spans="1:169" x14ac:dyDescent="0.2">
      <c r="A76" s="1" t="s">
        <v>1617</v>
      </c>
      <c r="B76" s="1" t="s">
        <v>55</v>
      </c>
      <c r="C76" s="1" t="s">
        <v>1583</v>
      </c>
      <c r="E76" s="1">
        <v>33</v>
      </c>
      <c r="F76" s="1" t="s">
        <v>1618</v>
      </c>
      <c r="H76" s="1" t="s">
        <v>1619</v>
      </c>
      <c r="I76" s="1" t="s">
        <v>7</v>
      </c>
      <c r="J76" s="1" t="s">
        <v>1620</v>
      </c>
      <c r="K76" s="1" t="s">
        <v>1621</v>
      </c>
      <c r="L76" s="1" t="s">
        <v>1620</v>
      </c>
      <c r="P76" s="1" t="s">
        <v>1270</v>
      </c>
      <c r="Q76" s="1">
        <v>2007</v>
      </c>
      <c r="R76" s="1" t="s">
        <v>1588</v>
      </c>
      <c r="S76" s="1" t="s">
        <v>27</v>
      </c>
      <c r="T76" s="6">
        <v>1</v>
      </c>
      <c r="V76" s="1">
        <v>1.21</v>
      </c>
      <c r="Y76" s="1">
        <v>0.38845642000000002</v>
      </c>
      <c r="Z76" s="1">
        <v>0.15873472999999999</v>
      </c>
      <c r="AA76" s="1">
        <v>0.28099004999999999</v>
      </c>
      <c r="AB76" s="1">
        <v>0.15774879999999999</v>
      </c>
      <c r="AD76" s="1">
        <v>0.814818181818182</v>
      </c>
      <c r="AF76" s="1">
        <v>0.24253878000000001</v>
      </c>
      <c r="AG76" s="1">
        <v>3.6676595999999999E-2</v>
      </c>
      <c r="AU76" s="1">
        <v>5.1268360000000001E-3</v>
      </c>
      <c r="AV76" s="1">
        <v>1.9718599999999999E-4</v>
      </c>
      <c r="AW76" s="1">
        <v>4.239499E-2</v>
      </c>
      <c r="AY76" s="1">
        <v>3.9437200000000004E-3</v>
      </c>
      <c r="BA76" s="1">
        <v>0.26324331000000001</v>
      </c>
      <c r="BD76" s="1">
        <v>4.6338710000000003E-3</v>
      </c>
      <c r="BG76" s="1">
        <v>5.3141626999999997E-2</v>
      </c>
      <c r="BI76" s="1">
        <v>1.478895E-3</v>
      </c>
      <c r="BK76" s="1">
        <v>4.9296500000000005E-4</v>
      </c>
      <c r="BL76" s="1">
        <v>1.2718497E-2</v>
      </c>
      <c r="BM76" s="1">
        <v>1.084523E-3</v>
      </c>
      <c r="BS76" s="1">
        <v>3.9437199999999998E-4</v>
      </c>
      <c r="BV76" s="1">
        <v>5.9155799999999995E-4</v>
      </c>
      <c r="CA76" s="1">
        <v>5.5310672999999998E-2</v>
      </c>
      <c r="CF76" s="1">
        <v>1.8732670000000001E-3</v>
      </c>
      <c r="CK76" s="1">
        <v>9.7212698E-2</v>
      </c>
      <c r="CZ76" s="1">
        <v>2.7606039999999998E-3</v>
      </c>
      <c r="DB76" s="1">
        <v>3.9437199999999998E-4</v>
      </c>
      <c r="DF76" s="1">
        <v>4.9296500000000005E-4</v>
      </c>
      <c r="DN76" s="1">
        <v>1.9817193E-2</v>
      </c>
      <c r="DU76" s="1">
        <v>1.1831159999999999E-3</v>
      </c>
      <c r="DX76" s="1">
        <v>1.9718599999999999E-4</v>
      </c>
      <c r="ED76" s="1">
        <v>5.4226150000000004E-3</v>
      </c>
      <c r="EH76" s="1">
        <v>8.7747769999999992E-3</v>
      </c>
      <c r="EK76" s="1">
        <v>9.6621139999999994E-3</v>
      </c>
      <c r="EL76" s="1">
        <v>7.5719423999999994E-2</v>
      </c>
      <c r="ET76" s="1">
        <v>3.9437199999999998E-4</v>
      </c>
      <c r="EX76" s="1">
        <v>1.774674E-3</v>
      </c>
      <c r="FE76" s="1">
        <v>4.2690769000000003E-2</v>
      </c>
      <c r="FM76" s="1">
        <v>0.11535381</v>
      </c>
    </row>
    <row r="77" spans="1:169" x14ac:dyDescent="0.2">
      <c r="A77" s="1" t="s">
        <v>1622</v>
      </c>
      <c r="B77" s="1" t="s">
        <v>55</v>
      </c>
      <c r="C77" s="1" t="s">
        <v>1623</v>
      </c>
      <c r="D77" s="1" t="s">
        <v>2</v>
      </c>
      <c r="E77" s="1">
        <v>21</v>
      </c>
      <c r="F77" s="1" t="s">
        <v>1624</v>
      </c>
      <c r="H77" s="1" t="s">
        <v>1625</v>
      </c>
      <c r="I77" s="1" t="s">
        <v>7</v>
      </c>
      <c r="J77" s="1" t="s">
        <v>1626</v>
      </c>
      <c r="K77" s="1" t="s">
        <v>1627</v>
      </c>
      <c r="L77" s="1" t="s">
        <v>1626</v>
      </c>
      <c r="N77" s="1" t="s">
        <v>1628</v>
      </c>
      <c r="P77" s="1" t="s">
        <v>1629</v>
      </c>
      <c r="Q77" s="1">
        <v>1997</v>
      </c>
      <c r="R77" s="1" t="s">
        <v>1630</v>
      </c>
      <c r="S77" s="1" t="s">
        <v>27</v>
      </c>
      <c r="T77" s="6">
        <v>1</v>
      </c>
      <c r="U77" s="1">
        <v>77.41</v>
      </c>
      <c r="X77" s="1">
        <v>2.5</v>
      </c>
    </row>
    <row r="78" spans="1:169" x14ac:dyDescent="0.2">
      <c r="A78" s="1" t="s">
        <v>1631</v>
      </c>
      <c r="B78" s="1" t="s">
        <v>55</v>
      </c>
      <c r="C78" s="1" t="s">
        <v>1623</v>
      </c>
      <c r="D78" s="1" t="s">
        <v>2</v>
      </c>
      <c r="E78" s="1">
        <v>21</v>
      </c>
      <c r="F78" s="1" t="s">
        <v>1624</v>
      </c>
      <c r="H78" s="1" t="s">
        <v>1632</v>
      </c>
      <c r="I78" s="1" t="s">
        <v>7</v>
      </c>
      <c r="J78" s="1" t="s">
        <v>1626</v>
      </c>
      <c r="K78" s="1" t="s">
        <v>1627</v>
      </c>
      <c r="L78" s="1" t="s">
        <v>1626</v>
      </c>
      <c r="M78" s="1" t="s">
        <v>1633</v>
      </c>
      <c r="N78" s="1" t="s">
        <v>1628</v>
      </c>
      <c r="P78" s="1" t="s">
        <v>1634</v>
      </c>
      <c r="Q78" s="1">
        <v>1997</v>
      </c>
      <c r="R78" s="1" t="s">
        <v>1630</v>
      </c>
      <c r="S78" s="1" t="s">
        <v>27</v>
      </c>
      <c r="T78" s="6">
        <v>1</v>
      </c>
      <c r="U78" s="1">
        <v>77.540000000000006</v>
      </c>
      <c r="X78" s="1">
        <v>2.54</v>
      </c>
    </row>
    <row r="79" spans="1:169" x14ac:dyDescent="0.2">
      <c r="A79" s="1" t="s">
        <v>1635</v>
      </c>
      <c r="B79" s="1" t="s">
        <v>55</v>
      </c>
      <c r="C79" s="1" t="s">
        <v>1623</v>
      </c>
      <c r="D79" s="1" t="s">
        <v>2</v>
      </c>
      <c r="E79" s="1">
        <v>21</v>
      </c>
      <c r="F79" s="1" t="s">
        <v>1624</v>
      </c>
      <c r="H79" s="1" t="s">
        <v>1632</v>
      </c>
      <c r="I79" s="1" t="s">
        <v>7</v>
      </c>
      <c r="J79" s="1" t="s">
        <v>1626</v>
      </c>
      <c r="K79" s="1" t="s">
        <v>1627</v>
      </c>
      <c r="L79" s="1" t="s">
        <v>1626</v>
      </c>
      <c r="M79" s="1" t="s">
        <v>1633</v>
      </c>
      <c r="N79" s="1" t="s">
        <v>1628</v>
      </c>
      <c r="P79" s="1" t="s">
        <v>1636</v>
      </c>
      <c r="Q79" s="1">
        <v>1997</v>
      </c>
      <c r="R79" s="1" t="s">
        <v>1630</v>
      </c>
      <c r="S79" s="1" t="s">
        <v>27</v>
      </c>
      <c r="T79" s="6">
        <v>1</v>
      </c>
      <c r="U79" s="1">
        <v>77.540000000000006</v>
      </c>
      <c r="X79" s="1" t="s">
        <v>1637</v>
      </c>
      <c r="Y79" s="1" t="s">
        <v>1638</v>
      </c>
      <c r="AB79" s="1" t="s">
        <v>1639</v>
      </c>
      <c r="AD79" s="1">
        <v>0.87670078740157498</v>
      </c>
      <c r="AF79" s="1" t="s">
        <v>5394</v>
      </c>
      <c r="AG79" s="1" t="s">
        <v>5395</v>
      </c>
      <c r="AW79" s="1" t="s">
        <v>5396</v>
      </c>
      <c r="AY79" s="1" t="s">
        <v>5397</v>
      </c>
      <c r="BA79" s="1" t="s">
        <v>5398</v>
      </c>
      <c r="BD79" s="1" t="s">
        <v>5399</v>
      </c>
      <c r="BG79" s="1" t="s">
        <v>5400</v>
      </c>
      <c r="BH79" s="1" t="s">
        <v>5397</v>
      </c>
      <c r="BI79" s="1" t="s">
        <v>5401</v>
      </c>
      <c r="BK79" s="1" t="s">
        <v>5402</v>
      </c>
      <c r="BS79" s="1" t="s">
        <v>5402</v>
      </c>
      <c r="CA79" s="1" t="s">
        <v>5403</v>
      </c>
      <c r="CF79" s="1" t="s">
        <v>5404</v>
      </c>
      <c r="CQ79" s="1" t="s">
        <v>5405</v>
      </c>
      <c r="CZ79" s="1" t="s">
        <v>5406</v>
      </c>
      <c r="DD79" s="1" t="s">
        <v>5407</v>
      </c>
      <c r="DF79" s="1" t="s">
        <v>5408</v>
      </c>
      <c r="DN79" s="1" t="s">
        <v>5409</v>
      </c>
      <c r="DT79" s="1" t="s">
        <v>5397</v>
      </c>
      <c r="EH79" s="1" t="s">
        <v>5410</v>
      </c>
      <c r="EX79" s="1" t="s">
        <v>5411</v>
      </c>
      <c r="FE79" s="1" t="s">
        <v>5412</v>
      </c>
      <c r="FJ79" s="1" t="s">
        <v>5413</v>
      </c>
      <c r="FM79" s="1" t="s">
        <v>5414</v>
      </c>
    </row>
    <row r="80" spans="1:169" x14ac:dyDescent="0.2">
      <c r="A80" s="1" t="s">
        <v>1640</v>
      </c>
      <c r="B80" s="1" t="s">
        <v>55</v>
      </c>
      <c r="C80" s="1" t="s">
        <v>1623</v>
      </c>
      <c r="D80" s="1" t="s">
        <v>2</v>
      </c>
      <c r="E80" s="1">
        <v>21</v>
      </c>
      <c r="F80" s="1" t="s">
        <v>1624</v>
      </c>
      <c r="H80" s="1" t="s">
        <v>1632</v>
      </c>
      <c r="I80" s="1" t="s">
        <v>7</v>
      </c>
      <c r="J80" s="1" t="s">
        <v>1626</v>
      </c>
      <c r="K80" s="1" t="s">
        <v>1627</v>
      </c>
      <c r="L80" s="1" t="s">
        <v>1626</v>
      </c>
      <c r="M80" s="1" t="s">
        <v>1641</v>
      </c>
      <c r="N80" s="1" t="s">
        <v>1628</v>
      </c>
      <c r="P80" s="1" t="s">
        <v>1636</v>
      </c>
      <c r="Q80" s="1">
        <v>1997</v>
      </c>
      <c r="R80" s="1" t="s">
        <v>1630</v>
      </c>
      <c r="S80" s="1" t="s">
        <v>27</v>
      </c>
      <c r="T80" s="6">
        <v>1</v>
      </c>
      <c r="U80" s="1">
        <v>77.540000000000006</v>
      </c>
      <c r="X80" s="1" t="s">
        <v>1637</v>
      </c>
      <c r="Y80" s="1" t="s">
        <v>1642</v>
      </c>
      <c r="AB80" s="1" t="s">
        <v>1643</v>
      </c>
      <c r="AD80" s="1">
        <v>0.87670078740157498</v>
      </c>
      <c r="AF80" s="1" t="s">
        <v>5415</v>
      </c>
      <c r="AG80" s="1" t="s">
        <v>5416</v>
      </c>
      <c r="AW80" s="1" t="s">
        <v>5417</v>
      </c>
      <c r="AY80" s="1" t="s">
        <v>5418</v>
      </c>
      <c r="BA80" s="1" t="s">
        <v>5419</v>
      </c>
      <c r="BD80" s="1" t="s">
        <v>5420</v>
      </c>
      <c r="BG80" s="1" t="s">
        <v>5421</v>
      </c>
      <c r="BH80" s="1" t="s">
        <v>5407</v>
      </c>
      <c r="BI80" s="1" t="s">
        <v>5397</v>
      </c>
      <c r="BK80" s="1" t="s">
        <v>5404</v>
      </c>
      <c r="BS80" s="1" t="s">
        <v>5401</v>
      </c>
      <c r="CA80" s="1" t="s">
        <v>5422</v>
      </c>
      <c r="CF80" s="1" t="s">
        <v>5418</v>
      </c>
      <c r="CQ80" s="1" t="s">
        <v>5423</v>
      </c>
      <c r="CZ80" s="1" t="s">
        <v>5424</v>
      </c>
      <c r="DD80" s="1" t="s">
        <v>5425</v>
      </c>
      <c r="DF80" s="1" t="s">
        <v>5426</v>
      </c>
      <c r="DN80" s="1" t="s">
        <v>5427</v>
      </c>
      <c r="DT80" s="1" t="s">
        <v>5407</v>
      </c>
      <c r="EH80" s="1" t="s">
        <v>5428</v>
      </c>
      <c r="EX80" s="1" t="s">
        <v>5429</v>
      </c>
      <c r="FE80" s="1" t="s">
        <v>5430</v>
      </c>
      <c r="FJ80" s="1" t="s">
        <v>5426</v>
      </c>
      <c r="FM80" s="1" t="s">
        <v>5431</v>
      </c>
    </row>
    <row r="81" spans="1:169" x14ac:dyDescent="0.2">
      <c r="A81" s="1" t="s">
        <v>1644</v>
      </c>
      <c r="B81" s="1" t="s">
        <v>55</v>
      </c>
      <c r="C81" s="1" t="s">
        <v>1623</v>
      </c>
      <c r="D81" s="1" t="s">
        <v>2</v>
      </c>
      <c r="E81" s="1">
        <v>21</v>
      </c>
      <c r="F81" s="1" t="s">
        <v>1624</v>
      </c>
      <c r="H81" s="1" t="s">
        <v>1632</v>
      </c>
      <c r="I81" s="1" t="s">
        <v>7</v>
      </c>
      <c r="J81" s="1" t="s">
        <v>1626</v>
      </c>
      <c r="K81" s="1" t="s">
        <v>1627</v>
      </c>
      <c r="L81" s="1" t="s">
        <v>1626</v>
      </c>
      <c r="M81" s="1" t="s">
        <v>1645</v>
      </c>
      <c r="N81" s="1" t="s">
        <v>1628</v>
      </c>
      <c r="P81" s="1" t="s">
        <v>1636</v>
      </c>
      <c r="Q81" s="1">
        <v>1997</v>
      </c>
      <c r="R81" s="1" t="s">
        <v>1630</v>
      </c>
      <c r="S81" s="1" t="s">
        <v>27</v>
      </c>
      <c r="T81" s="6">
        <v>1</v>
      </c>
      <c r="U81" s="1">
        <v>77.540000000000006</v>
      </c>
      <c r="X81" s="1" t="s">
        <v>1637</v>
      </c>
      <c r="Y81" s="1" t="s">
        <v>1646</v>
      </c>
      <c r="AB81" s="1" t="s">
        <v>1647</v>
      </c>
      <c r="AD81" s="1">
        <v>0.87670078740157498</v>
      </c>
      <c r="AF81" s="1" t="s">
        <v>5432</v>
      </c>
      <c r="AG81" s="1" t="s">
        <v>5433</v>
      </c>
      <c r="AW81" s="1" t="s">
        <v>5434</v>
      </c>
      <c r="AY81" s="1" t="s">
        <v>5435</v>
      </c>
      <c r="BA81" s="1" t="s">
        <v>5436</v>
      </c>
      <c r="BD81" s="1" t="s">
        <v>5407</v>
      </c>
      <c r="BG81" s="1" t="s">
        <v>5437</v>
      </c>
      <c r="BH81" s="1" t="s">
        <v>5397</v>
      </c>
      <c r="BI81" s="1" t="s">
        <v>5397</v>
      </c>
      <c r="BK81" s="1" t="s">
        <v>5438</v>
      </c>
      <c r="BS81" s="1" t="s">
        <v>5401</v>
      </c>
      <c r="CA81" s="1" t="s">
        <v>5439</v>
      </c>
      <c r="CF81" s="1" t="s">
        <v>5438</v>
      </c>
      <c r="CQ81" s="1" t="s">
        <v>5440</v>
      </c>
      <c r="CZ81" s="1" t="s">
        <v>5441</v>
      </c>
      <c r="DD81" s="1" t="s">
        <v>5399</v>
      </c>
      <c r="DF81" s="1" t="s">
        <v>5442</v>
      </c>
      <c r="DN81" s="1" t="s">
        <v>5443</v>
      </c>
      <c r="DT81" s="1" t="s">
        <v>5413</v>
      </c>
      <c r="EH81" s="1" t="s">
        <v>5444</v>
      </c>
      <c r="EX81" s="1" t="s">
        <v>5445</v>
      </c>
      <c r="FE81" s="1" t="s">
        <v>5443</v>
      </c>
      <c r="FJ81" s="1" t="s">
        <v>5408</v>
      </c>
      <c r="FM81" s="1" t="s">
        <v>5446</v>
      </c>
    </row>
    <row r="82" spans="1:169" x14ac:dyDescent="0.2">
      <c r="A82" s="1" t="s">
        <v>1648</v>
      </c>
      <c r="B82" s="1" t="s">
        <v>55</v>
      </c>
      <c r="C82" s="1" t="s">
        <v>1623</v>
      </c>
      <c r="D82" s="1" t="s">
        <v>2</v>
      </c>
      <c r="E82" s="1">
        <v>21</v>
      </c>
      <c r="F82" s="1" t="s">
        <v>1624</v>
      </c>
      <c r="H82" s="1" t="s">
        <v>1632</v>
      </c>
      <c r="I82" s="1" t="s">
        <v>7</v>
      </c>
      <c r="J82" s="1" t="s">
        <v>1626</v>
      </c>
      <c r="K82" s="1" t="s">
        <v>1627</v>
      </c>
      <c r="L82" s="1" t="s">
        <v>1626</v>
      </c>
      <c r="M82" s="1" t="s">
        <v>1649</v>
      </c>
      <c r="N82" s="1" t="s">
        <v>1628</v>
      </c>
      <c r="P82" s="1" t="s">
        <v>1636</v>
      </c>
      <c r="Q82" s="1">
        <v>1997</v>
      </c>
      <c r="R82" s="1" t="s">
        <v>1630</v>
      </c>
      <c r="S82" s="1" t="s">
        <v>27</v>
      </c>
      <c r="T82" s="6">
        <v>1</v>
      </c>
      <c r="U82" s="1">
        <v>77.540000000000006</v>
      </c>
      <c r="X82" s="1" t="s">
        <v>1637</v>
      </c>
      <c r="Y82" s="1" t="s">
        <v>1650</v>
      </c>
      <c r="AB82" s="1" t="s">
        <v>1651</v>
      </c>
      <c r="AD82" s="1">
        <v>0.87670078740157498</v>
      </c>
      <c r="AF82" s="1" t="s">
        <v>5447</v>
      </c>
      <c r="AG82" s="1" t="s">
        <v>5448</v>
      </c>
      <c r="AW82" s="1" t="s">
        <v>5449</v>
      </c>
      <c r="AY82" s="1" t="s">
        <v>5450</v>
      </c>
      <c r="BA82" s="1" t="s">
        <v>5451</v>
      </c>
      <c r="BD82" s="1" t="s">
        <v>5418</v>
      </c>
      <c r="BG82" s="1" t="s">
        <v>5421</v>
      </c>
      <c r="BH82" s="1" t="s">
        <v>5407</v>
      </c>
      <c r="BI82" s="1" t="s">
        <v>5401</v>
      </c>
      <c r="BK82" s="1" t="s">
        <v>5401</v>
      </c>
      <c r="BS82" s="1" t="s">
        <v>5404</v>
      </c>
      <c r="CA82" s="1" t="s">
        <v>5428</v>
      </c>
      <c r="CF82" s="1" t="s">
        <v>5418</v>
      </c>
      <c r="CQ82" s="1" t="s">
        <v>5452</v>
      </c>
      <c r="CZ82" s="1" t="s">
        <v>5406</v>
      </c>
      <c r="DD82" s="1" t="s">
        <v>5397</v>
      </c>
      <c r="DF82" s="1" t="s">
        <v>5453</v>
      </c>
      <c r="DN82" s="1" t="s">
        <v>5454</v>
      </c>
      <c r="DT82" s="1" t="s">
        <v>5442</v>
      </c>
      <c r="EH82" s="1" t="s">
        <v>5455</v>
      </c>
      <c r="EX82" s="1" t="s">
        <v>5396</v>
      </c>
      <c r="FE82" s="1" t="s">
        <v>5456</v>
      </c>
      <c r="FJ82" s="1" t="s">
        <v>5457</v>
      </c>
      <c r="FM82" s="1" t="s">
        <v>5416</v>
      </c>
    </row>
    <row r="83" spans="1:169" x14ac:dyDescent="0.2">
      <c r="A83" s="1" t="s">
        <v>1652</v>
      </c>
      <c r="B83" s="1" t="s">
        <v>55</v>
      </c>
      <c r="C83" s="1" t="s">
        <v>1623</v>
      </c>
      <c r="D83" s="1" t="s">
        <v>2</v>
      </c>
      <c r="E83" s="1">
        <v>21</v>
      </c>
      <c r="F83" s="1" t="s">
        <v>1624</v>
      </c>
      <c r="H83" s="1" t="s">
        <v>1653</v>
      </c>
      <c r="I83" s="1" t="s">
        <v>7</v>
      </c>
      <c r="J83" s="1" t="s">
        <v>1626</v>
      </c>
      <c r="K83" s="1" t="s">
        <v>1627</v>
      </c>
      <c r="L83" s="1" t="s">
        <v>1626</v>
      </c>
      <c r="M83" s="1" t="s">
        <v>1633</v>
      </c>
      <c r="N83" s="1" t="s">
        <v>1654</v>
      </c>
      <c r="P83" s="1" t="s">
        <v>1629</v>
      </c>
      <c r="Q83" s="1">
        <v>1997</v>
      </c>
      <c r="R83" s="1" t="s">
        <v>1630</v>
      </c>
      <c r="S83" s="1" t="s">
        <v>27</v>
      </c>
      <c r="T83" s="6">
        <v>1</v>
      </c>
      <c r="U83" s="1">
        <v>76.349999999999994</v>
      </c>
      <c r="X83" s="1">
        <v>3.36</v>
      </c>
    </row>
    <row r="84" spans="1:169" x14ac:dyDescent="0.2">
      <c r="A84" s="1" t="s">
        <v>1655</v>
      </c>
      <c r="B84" s="1" t="s">
        <v>55</v>
      </c>
      <c r="C84" s="1" t="s">
        <v>1623</v>
      </c>
      <c r="D84" s="1" t="s">
        <v>2</v>
      </c>
      <c r="E84" s="1">
        <v>21</v>
      </c>
      <c r="F84" s="1" t="s">
        <v>1624</v>
      </c>
      <c r="H84" s="1" t="s">
        <v>1653</v>
      </c>
      <c r="I84" s="1" t="s">
        <v>7</v>
      </c>
      <c r="J84" s="1" t="s">
        <v>1626</v>
      </c>
      <c r="K84" s="1" t="s">
        <v>1627</v>
      </c>
      <c r="L84" s="1" t="s">
        <v>1626</v>
      </c>
      <c r="M84" s="1" t="s">
        <v>1633</v>
      </c>
      <c r="N84" s="1" t="s">
        <v>1654</v>
      </c>
      <c r="P84" s="1" t="s">
        <v>1636</v>
      </c>
      <c r="Q84" s="1">
        <v>1997</v>
      </c>
      <c r="R84" s="1" t="s">
        <v>1630</v>
      </c>
      <c r="S84" s="1" t="s">
        <v>27</v>
      </c>
      <c r="T84" s="6">
        <v>1</v>
      </c>
      <c r="U84" s="1">
        <v>76.349999999999994</v>
      </c>
      <c r="X84" s="1" t="s">
        <v>1656</v>
      </c>
      <c r="Y84" s="1" t="s">
        <v>1657</v>
      </c>
      <c r="AB84" s="1" t="s">
        <v>1658</v>
      </c>
      <c r="AD84" s="1">
        <v>0.89044047619047595</v>
      </c>
      <c r="AF84" s="1" t="s">
        <v>5458</v>
      </c>
      <c r="AG84" s="1" t="s">
        <v>5459</v>
      </c>
      <c r="AW84" s="1" t="s">
        <v>5460</v>
      </c>
      <c r="AY84" s="1" t="s">
        <v>5461</v>
      </c>
      <c r="BA84" s="1" t="s">
        <v>5462</v>
      </c>
      <c r="BD84" s="1" t="s">
        <v>5463</v>
      </c>
      <c r="BG84" s="1" t="s">
        <v>5464</v>
      </c>
      <c r="BH84" s="1" t="s">
        <v>5465</v>
      </c>
      <c r="BI84" s="1" t="s">
        <v>5466</v>
      </c>
      <c r="BK84" s="1" t="s">
        <v>5466</v>
      </c>
      <c r="BS84" s="1" t="s">
        <v>5467</v>
      </c>
      <c r="CA84" s="1" t="s">
        <v>1661</v>
      </c>
      <c r="CF84" s="1" t="s">
        <v>5466</v>
      </c>
      <c r="CQ84" s="1" t="s">
        <v>5468</v>
      </c>
      <c r="CZ84" s="1" t="s">
        <v>5469</v>
      </c>
      <c r="DD84" s="1" t="s">
        <v>5470</v>
      </c>
      <c r="DF84" s="1" t="s">
        <v>5471</v>
      </c>
      <c r="DN84" s="1" t="s">
        <v>5472</v>
      </c>
      <c r="DT84" s="1" t="s">
        <v>5470</v>
      </c>
      <c r="EH84" s="1" t="s">
        <v>1667</v>
      </c>
      <c r="EX84" s="1" t="s">
        <v>5472</v>
      </c>
      <c r="FE84" s="1" t="s">
        <v>5473</v>
      </c>
      <c r="FJ84" s="1" t="s">
        <v>5474</v>
      </c>
      <c r="FM84" s="1" t="s">
        <v>5475</v>
      </c>
    </row>
    <row r="85" spans="1:169" x14ac:dyDescent="0.2">
      <c r="A85" s="1" t="s">
        <v>1659</v>
      </c>
      <c r="B85" s="1" t="s">
        <v>55</v>
      </c>
      <c r="C85" s="1" t="s">
        <v>1623</v>
      </c>
      <c r="D85" s="1" t="s">
        <v>2</v>
      </c>
      <c r="E85" s="1">
        <v>21</v>
      </c>
      <c r="F85" s="1" t="s">
        <v>1624</v>
      </c>
      <c r="H85" s="1" t="s">
        <v>1653</v>
      </c>
      <c r="I85" s="1" t="s">
        <v>7</v>
      </c>
      <c r="J85" s="1" t="s">
        <v>1626</v>
      </c>
      <c r="K85" s="1" t="s">
        <v>1627</v>
      </c>
      <c r="L85" s="1" t="s">
        <v>1626</v>
      </c>
      <c r="M85" s="1" t="s">
        <v>1641</v>
      </c>
      <c r="N85" s="1" t="s">
        <v>1654</v>
      </c>
      <c r="P85" s="1" t="s">
        <v>1636</v>
      </c>
      <c r="Q85" s="1">
        <v>1997</v>
      </c>
      <c r="R85" s="1" t="s">
        <v>1630</v>
      </c>
      <c r="S85" s="1" t="s">
        <v>27</v>
      </c>
      <c r="T85" s="6">
        <v>1</v>
      </c>
      <c r="U85" s="1">
        <v>76.349999999999994</v>
      </c>
      <c r="X85" s="1" t="s">
        <v>1656</v>
      </c>
      <c r="Y85" s="1" t="s">
        <v>1660</v>
      </c>
      <c r="AB85" s="1" t="s">
        <v>1661</v>
      </c>
      <c r="AD85" s="1">
        <v>0.89044047619047595</v>
      </c>
      <c r="AF85" s="1" t="s">
        <v>5476</v>
      </c>
      <c r="AG85" s="1" t="s">
        <v>5477</v>
      </c>
      <c r="AW85" s="1" t="s">
        <v>5478</v>
      </c>
      <c r="AY85" s="1" t="s">
        <v>5479</v>
      </c>
      <c r="BA85" s="1" t="s">
        <v>5480</v>
      </c>
      <c r="BD85" s="1" t="s">
        <v>5481</v>
      </c>
      <c r="BG85" s="1" t="s">
        <v>5482</v>
      </c>
      <c r="BH85" s="1" t="s">
        <v>5461</v>
      </c>
      <c r="BI85" s="1" t="s">
        <v>5466</v>
      </c>
      <c r="BK85" s="1" t="s">
        <v>5467</v>
      </c>
      <c r="BS85" s="1" t="s">
        <v>5483</v>
      </c>
      <c r="CA85" s="1" t="s">
        <v>5484</v>
      </c>
      <c r="CF85" s="1" t="s">
        <v>5485</v>
      </c>
      <c r="CQ85" s="1" t="s">
        <v>5486</v>
      </c>
      <c r="CZ85" s="1" t="s">
        <v>5487</v>
      </c>
      <c r="DD85" s="1" t="s">
        <v>5488</v>
      </c>
      <c r="DF85" s="1" t="s">
        <v>5489</v>
      </c>
      <c r="DN85" s="1" t="s">
        <v>5490</v>
      </c>
      <c r="DT85" s="1" t="s">
        <v>5485</v>
      </c>
      <c r="EH85" s="1" t="s">
        <v>5491</v>
      </c>
      <c r="EX85" s="1" t="s">
        <v>5492</v>
      </c>
      <c r="FE85" s="1" t="s">
        <v>5493</v>
      </c>
      <c r="FJ85" s="1" t="s">
        <v>5489</v>
      </c>
      <c r="FM85" s="1" t="s">
        <v>5494</v>
      </c>
    </row>
    <row r="86" spans="1:169" x14ac:dyDescent="0.2">
      <c r="A86" s="1" t="s">
        <v>1662</v>
      </c>
      <c r="B86" s="1" t="s">
        <v>55</v>
      </c>
      <c r="C86" s="1" t="s">
        <v>1623</v>
      </c>
      <c r="D86" s="1" t="s">
        <v>2</v>
      </c>
      <c r="E86" s="1">
        <v>21</v>
      </c>
      <c r="F86" s="1" t="s">
        <v>1624</v>
      </c>
      <c r="H86" s="1" t="s">
        <v>1653</v>
      </c>
      <c r="I86" s="1" t="s">
        <v>7</v>
      </c>
      <c r="J86" s="1" t="s">
        <v>1626</v>
      </c>
      <c r="K86" s="1" t="s">
        <v>1627</v>
      </c>
      <c r="L86" s="1" t="s">
        <v>1626</v>
      </c>
      <c r="M86" s="1" t="s">
        <v>1645</v>
      </c>
      <c r="N86" s="1" t="s">
        <v>1654</v>
      </c>
      <c r="P86" s="1" t="s">
        <v>1636</v>
      </c>
      <c r="Q86" s="1">
        <v>1997</v>
      </c>
      <c r="R86" s="1" t="s">
        <v>1630</v>
      </c>
      <c r="S86" s="1" t="s">
        <v>27</v>
      </c>
      <c r="T86" s="6">
        <v>1</v>
      </c>
      <c r="U86" s="1">
        <v>76.349999999999994</v>
      </c>
      <c r="X86" s="1" t="s">
        <v>1656</v>
      </c>
      <c r="Y86" s="1" t="s">
        <v>1663</v>
      </c>
      <c r="AB86" s="1" t="s">
        <v>1664</v>
      </c>
      <c r="AD86" s="1">
        <v>0.89044047619047595</v>
      </c>
      <c r="AF86" s="1" t="s">
        <v>5495</v>
      </c>
      <c r="AG86" s="1" t="s">
        <v>5496</v>
      </c>
      <c r="AW86" s="1" t="s">
        <v>5482</v>
      </c>
      <c r="AY86" s="1" t="s">
        <v>5481</v>
      </c>
      <c r="BA86" s="1" t="s">
        <v>5497</v>
      </c>
      <c r="BD86" s="1" t="s">
        <v>5461</v>
      </c>
      <c r="BG86" s="1" t="s">
        <v>5498</v>
      </c>
      <c r="BH86" s="1" t="s">
        <v>5463</v>
      </c>
      <c r="BI86" s="1" t="s">
        <v>5499</v>
      </c>
      <c r="BK86" s="1" t="s">
        <v>5481</v>
      </c>
      <c r="BS86" s="1" t="s">
        <v>5466</v>
      </c>
      <c r="CA86" s="1" t="s">
        <v>5500</v>
      </c>
      <c r="CF86" s="1" t="s">
        <v>5466</v>
      </c>
      <c r="CQ86" s="1" t="s">
        <v>5501</v>
      </c>
      <c r="CZ86" s="1" t="s">
        <v>5502</v>
      </c>
      <c r="DD86" s="1" t="s">
        <v>5470</v>
      </c>
      <c r="DF86" s="1" t="s">
        <v>5465</v>
      </c>
      <c r="DN86" s="1" t="s">
        <v>5503</v>
      </c>
      <c r="DT86" s="1" t="s">
        <v>5504</v>
      </c>
      <c r="EH86" s="1" t="s">
        <v>5472</v>
      </c>
      <c r="EX86" s="1" t="s">
        <v>5505</v>
      </c>
      <c r="FE86" s="1" t="s">
        <v>5506</v>
      </c>
      <c r="FJ86" s="1" t="s">
        <v>5507</v>
      </c>
      <c r="FM86" s="1" t="s">
        <v>5508</v>
      </c>
    </row>
    <row r="87" spans="1:169" x14ac:dyDescent="0.2">
      <c r="A87" s="1" t="s">
        <v>1665</v>
      </c>
      <c r="B87" s="1" t="s">
        <v>55</v>
      </c>
      <c r="C87" s="1" t="s">
        <v>1623</v>
      </c>
      <c r="D87" s="1" t="s">
        <v>2</v>
      </c>
      <c r="E87" s="1">
        <v>21</v>
      </c>
      <c r="F87" s="1" t="s">
        <v>1624</v>
      </c>
      <c r="H87" s="1" t="s">
        <v>1653</v>
      </c>
      <c r="I87" s="1" t="s">
        <v>7</v>
      </c>
      <c r="J87" s="1" t="s">
        <v>1626</v>
      </c>
      <c r="K87" s="1" t="s">
        <v>1627</v>
      </c>
      <c r="L87" s="1" t="s">
        <v>1626</v>
      </c>
      <c r="M87" s="1" t="s">
        <v>1649</v>
      </c>
      <c r="N87" s="1" t="s">
        <v>1654</v>
      </c>
      <c r="P87" s="1" t="s">
        <v>1636</v>
      </c>
      <c r="Q87" s="1">
        <v>1997</v>
      </c>
      <c r="R87" s="1" t="s">
        <v>1630</v>
      </c>
      <c r="S87" s="1" t="s">
        <v>27</v>
      </c>
      <c r="T87" s="6">
        <v>1</v>
      </c>
      <c r="U87" s="1">
        <v>76.349999999999994</v>
      </c>
      <c r="X87" s="1" t="s">
        <v>1656</v>
      </c>
      <c r="Y87" s="1" t="s">
        <v>1666</v>
      </c>
      <c r="AB87" s="1" t="s">
        <v>1667</v>
      </c>
      <c r="AD87" s="1">
        <v>0.89044047619047595</v>
      </c>
      <c r="AF87" s="1" t="s">
        <v>5509</v>
      </c>
      <c r="AG87" s="1" t="s">
        <v>5510</v>
      </c>
      <c r="AW87" s="1" t="s">
        <v>5511</v>
      </c>
      <c r="AY87" s="1" t="s">
        <v>5479</v>
      </c>
      <c r="BA87" s="1" t="s">
        <v>5512</v>
      </c>
      <c r="BD87" s="1" t="s">
        <v>5471</v>
      </c>
      <c r="BG87" s="1" t="s">
        <v>5513</v>
      </c>
      <c r="BH87" s="1" t="s">
        <v>5481</v>
      </c>
      <c r="BI87" s="1" t="s">
        <v>5466</v>
      </c>
      <c r="BK87" s="1" t="s">
        <v>5461</v>
      </c>
      <c r="BS87" s="1" t="s">
        <v>5499</v>
      </c>
      <c r="CA87" s="1" t="s">
        <v>5500</v>
      </c>
      <c r="CF87" s="1" t="s">
        <v>5471</v>
      </c>
      <c r="CQ87" s="1" t="s">
        <v>5514</v>
      </c>
      <c r="CZ87" s="1" t="s">
        <v>5502</v>
      </c>
      <c r="DD87" s="1" t="s">
        <v>5515</v>
      </c>
      <c r="DF87" s="1" t="s">
        <v>5516</v>
      </c>
      <c r="DN87" s="1" t="s">
        <v>5517</v>
      </c>
      <c r="DT87" s="1" t="s">
        <v>5518</v>
      </c>
      <c r="EH87" s="1" t="s">
        <v>5519</v>
      </c>
      <c r="EX87" s="1" t="s">
        <v>5520</v>
      </c>
      <c r="FE87" s="1" t="s">
        <v>5521</v>
      </c>
      <c r="FJ87" s="1" t="s">
        <v>5522</v>
      </c>
      <c r="FM87" s="1" t="s">
        <v>5523</v>
      </c>
    </row>
    <row r="88" spans="1:169" x14ac:dyDescent="0.2">
      <c r="A88" s="1" t="s">
        <v>1668</v>
      </c>
      <c r="B88" s="1" t="s">
        <v>55</v>
      </c>
      <c r="C88" s="1" t="s">
        <v>236</v>
      </c>
      <c r="D88" s="1" t="s">
        <v>2</v>
      </c>
      <c r="E88" s="1">
        <v>21</v>
      </c>
      <c r="F88" s="1" t="s">
        <v>1517</v>
      </c>
      <c r="H88" s="1" t="s">
        <v>1669</v>
      </c>
      <c r="I88" s="1" t="s">
        <v>7</v>
      </c>
      <c r="J88" s="1" t="s">
        <v>1519</v>
      </c>
      <c r="K88" s="1" t="s">
        <v>1520</v>
      </c>
      <c r="L88" s="1" t="s">
        <v>1519</v>
      </c>
      <c r="N88" s="1" t="s">
        <v>1670</v>
      </c>
      <c r="P88" s="1" t="s">
        <v>1671</v>
      </c>
      <c r="Q88" s="1">
        <v>1997</v>
      </c>
      <c r="R88" s="1" t="s">
        <v>1672</v>
      </c>
      <c r="S88" s="1" t="s">
        <v>27</v>
      </c>
      <c r="T88" s="6">
        <v>1</v>
      </c>
      <c r="U88" s="1">
        <v>72.099999999999994</v>
      </c>
      <c r="V88" s="1">
        <v>7.76</v>
      </c>
      <c r="Y88" s="1">
        <v>1.7486304974682001</v>
      </c>
      <c r="Z88" s="1">
        <v>3.19218162921424</v>
      </c>
      <c r="AA88" s="1">
        <v>1.8027061250737699</v>
      </c>
      <c r="AB88" s="1">
        <v>0.353561748243787</v>
      </c>
      <c r="AD88" s="1">
        <v>0.91457216494845395</v>
      </c>
      <c r="AF88" s="1">
        <v>1.4261523709056501</v>
      </c>
      <c r="AG88" s="1">
        <v>0.37655375416812598</v>
      </c>
      <c r="AW88" s="1">
        <v>0.27806793934629898</v>
      </c>
      <c r="AY88" s="1">
        <v>2.7477477508583901E-2</v>
      </c>
      <c r="BA88" s="1">
        <v>1.2988506000181199</v>
      </c>
      <c r="BG88" s="1">
        <v>0.12430212752599699</v>
      </c>
      <c r="BH88" s="1">
        <v>1.99323530692023E-2</v>
      </c>
      <c r="BS88" s="1">
        <v>1.1931165536869201E-2</v>
      </c>
      <c r="BZ88" s="1">
        <v>0.50435352489488805</v>
      </c>
      <c r="CK88" s="1">
        <v>1.65586366282422</v>
      </c>
      <c r="CM88" s="1">
        <v>0.20023737260567301</v>
      </c>
      <c r="CU88" s="1">
        <v>0.11908923981204</v>
      </c>
      <c r="CV88" s="1">
        <v>0.39577561733941502</v>
      </c>
      <c r="DA88" s="1">
        <v>0.25191667690304298</v>
      </c>
      <c r="DB88" s="1">
        <v>3.50679465007077E-2</v>
      </c>
      <c r="DF88" s="1">
        <v>1.79464227973802E-2</v>
      </c>
      <c r="DN88" s="1">
        <v>0.27399149349972302</v>
      </c>
      <c r="DT88" s="1">
        <v>2.0674384716447398E-2</v>
      </c>
      <c r="ED88" s="1">
        <v>1.27724366109643E-2</v>
      </c>
      <c r="EH88" s="1">
        <v>5.6056805125898897E-2</v>
      </c>
      <c r="EK88" s="1">
        <v>9.2651989228714707E-3</v>
      </c>
      <c r="ET88" s="1">
        <v>8.8666719950469403E-2</v>
      </c>
      <c r="EX88" s="1">
        <v>5.9850240418119198E-2</v>
      </c>
      <c r="FE88" s="1">
        <v>0.46584127511119</v>
      </c>
      <c r="FG88" s="1">
        <v>2.0697206217759102E-2</v>
      </c>
      <c r="FJ88" s="1">
        <v>0.101527718945081</v>
      </c>
      <c r="FM88" s="1">
        <v>0.69336264555524996</v>
      </c>
    </row>
    <row r="89" spans="1:169" x14ac:dyDescent="0.2">
      <c r="A89" s="1" t="s">
        <v>1673</v>
      </c>
      <c r="B89" s="1" t="s">
        <v>55</v>
      </c>
      <c r="C89" s="1" t="s">
        <v>236</v>
      </c>
      <c r="D89" s="1" t="s">
        <v>2</v>
      </c>
      <c r="E89" s="1">
        <v>21</v>
      </c>
      <c r="F89" s="1" t="s">
        <v>1674</v>
      </c>
      <c r="H89" s="1" t="s">
        <v>1675</v>
      </c>
      <c r="I89" s="1" t="s">
        <v>7</v>
      </c>
      <c r="J89" s="1" t="s">
        <v>1676</v>
      </c>
      <c r="K89" s="1" t="s">
        <v>1677</v>
      </c>
      <c r="L89" s="1" t="s">
        <v>1676</v>
      </c>
      <c r="N89" s="1" t="s">
        <v>1678</v>
      </c>
      <c r="P89" s="1" t="s">
        <v>1671</v>
      </c>
      <c r="Q89" s="1">
        <v>1997</v>
      </c>
      <c r="R89" s="1" t="s">
        <v>1672</v>
      </c>
      <c r="S89" s="1" t="s">
        <v>27</v>
      </c>
      <c r="T89" s="6">
        <v>1</v>
      </c>
      <c r="U89" s="1">
        <v>69.8</v>
      </c>
      <c r="V89" s="1">
        <v>10.64</v>
      </c>
      <c r="Y89" s="1">
        <v>2.5661656935949599</v>
      </c>
      <c r="Z89" s="1">
        <v>4.6710406363531698</v>
      </c>
      <c r="AA89" s="1">
        <v>1.9922323206186801</v>
      </c>
      <c r="AB89" s="1">
        <v>0.55468134943318603</v>
      </c>
      <c r="AD89" s="1">
        <v>0.91956015037593997</v>
      </c>
      <c r="AF89" s="1">
        <v>1.64043267483415</v>
      </c>
      <c r="AG89" s="1">
        <v>0.35179964578453099</v>
      </c>
      <c r="AW89" s="1">
        <v>0.316700963698409</v>
      </c>
      <c r="AY89" s="1">
        <v>3.0124500014400299E-2</v>
      </c>
      <c r="BA89" s="1">
        <v>2.0380443231449101</v>
      </c>
      <c r="BG89" s="1">
        <v>0.15674958352981899</v>
      </c>
      <c r="BH89" s="1">
        <v>2.4546323207425901E-2</v>
      </c>
      <c r="BS89" s="1">
        <v>1.5488160206042399E-2</v>
      </c>
      <c r="BZ89" s="1">
        <v>0.80183052146283595</v>
      </c>
      <c r="CK89" s="1">
        <v>2.75885437112187</v>
      </c>
      <c r="CM89" s="1">
        <v>0.23504616580377999</v>
      </c>
      <c r="CU89" s="1">
        <v>0.13278093424971699</v>
      </c>
      <c r="CV89" s="1">
        <v>0.41506336483985701</v>
      </c>
      <c r="DA89" s="1">
        <v>0.26454219272938601</v>
      </c>
      <c r="DB89" s="1">
        <v>2.96129320219462E-2</v>
      </c>
      <c r="DF89" s="1">
        <v>1.7821993917734501E-2</v>
      </c>
      <c r="DN89" s="1">
        <v>0.2535685801002</v>
      </c>
      <c r="DT89" s="1">
        <v>2.0649036408321698E-2</v>
      </c>
      <c r="ED89" s="1">
        <v>1.37017230892417E-2</v>
      </c>
      <c r="EH89" s="1">
        <v>6.6551226433459496E-2</v>
      </c>
      <c r="EK89" s="1">
        <v>1.0813094052994699E-2</v>
      </c>
      <c r="ET89" s="1">
        <v>0.11642426126981301</v>
      </c>
      <c r="EX89" s="1">
        <v>5.3067212133772697E-2</v>
      </c>
      <c r="FE89" s="1">
        <v>0.47255372787970701</v>
      </c>
      <c r="FG89" s="1">
        <v>2.4609321343813498E-2</v>
      </c>
      <c r="FJ89" s="1">
        <v>9.5656374915108505E-2</v>
      </c>
      <c r="FM89" s="1">
        <v>0.86463776299224504</v>
      </c>
    </row>
    <row r="90" spans="1:169" x14ac:dyDescent="0.2">
      <c r="A90" s="1" t="s">
        <v>1679</v>
      </c>
      <c r="B90" s="1" t="s">
        <v>55</v>
      </c>
      <c r="C90" s="1" t="s">
        <v>236</v>
      </c>
      <c r="D90" s="1" t="s">
        <v>2</v>
      </c>
      <c r="E90" s="1">
        <v>21</v>
      </c>
      <c r="F90" s="1" t="s">
        <v>1624</v>
      </c>
      <c r="H90" s="1" t="s">
        <v>1680</v>
      </c>
      <c r="I90" s="1" t="s">
        <v>7</v>
      </c>
      <c r="J90" s="1" t="s">
        <v>1626</v>
      </c>
      <c r="K90" s="1" t="s">
        <v>1627</v>
      </c>
      <c r="L90" s="1" t="s">
        <v>1626</v>
      </c>
      <c r="N90" s="1" t="s">
        <v>1681</v>
      </c>
      <c r="P90" s="1" t="s">
        <v>1671</v>
      </c>
      <c r="Q90" s="1">
        <v>1997</v>
      </c>
      <c r="R90" s="1" t="s">
        <v>1672</v>
      </c>
      <c r="S90" s="1" t="s">
        <v>27</v>
      </c>
      <c r="T90" s="6">
        <v>1</v>
      </c>
      <c r="U90" s="1">
        <v>75.5</v>
      </c>
      <c r="V90" s="1">
        <v>4.49</v>
      </c>
      <c r="Y90" s="1">
        <v>1.08361822868222</v>
      </c>
      <c r="Z90" s="1">
        <v>1.8413158939033401</v>
      </c>
      <c r="AA90" s="1">
        <v>0.89031228409170704</v>
      </c>
      <c r="AB90" s="1">
        <v>0.23092359332274101</v>
      </c>
      <c r="AD90" s="1">
        <v>0.90115144766147004</v>
      </c>
      <c r="AF90" s="1">
        <v>0.71728887276062303</v>
      </c>
      <c r="AG90" s="1">
        <v>0.17302341133108401</v>
      </c>
      <c r="AW90" s="1">
        <v>0.14494499034948199</v>
      </c>
      <c r="AY90" s="1">
        <v>1.3257605765116901E-2</v>
      </c>
      <c r="BA90" s="1">
        <v>0.80348496179296203</v>
      </c>
      <c r="BG90" s="1">
        <v>0.113406370466652</v>
      </c>
      <c r="BH90" s="1">
        <v>8.5243003080034598E-3</v>
      </c>
      <c r="BS90" s="1">
        <v>6.4031376657138596E-3</v>
      </c>
      <c r="BZ90" s="1">
        <v>0.23482498863186799</v>
      </c>
      <c r="CK90" s="1">
        <v>1.0826705890864901</v>
      </c>
      <c r="CM90" s="1">
        <v>9.19095825439918E-2</v>
      </c>
      <c r="CU90" s="1">
        <v>6.9533016236817999E-2</v>
      </c>
      <c r="CV90" s="1">
        <v>0.20168640966936699</v>
      </c>
      <c r="DA90" s="1">
        <v>0.12854752391144</v>
      </c>
      <c r="DB90" s="1">
        <v>1.55073203448722E-2</v>
      </c>
      <c r="DF90" s="1">
        <v>1.0233325812772301E-2</v>
      </c>
      <c r="DN90" s="1">
        <v>0.11697324131475199</v>
      </c>
      <c r="DT90" s="1">
        <v>9.3497788407139494E-3</v>
      </c>
      <c r="ED90" s="1">
        <v>5.6645862407645403E-3</v>
      </c>
      <c r="EH90" s="1">
        <v>2.5086024780528699E-2</v>
      </c>
      <c r="EK90" s="1">
        <v>5.2831586755958402E-3</v>
      </c>
      <c r="ET90" s="1">
        <v>4.0851773021943698E-2</v>
      </c>
      <c r="EX90" s="1">
        <v>3.5752646259257601E-2</v>
      </c>
      <c r="FE90" s="1">
        <v>0.22541982444903899</v>
      </c>
      <c r="FG90" s="1">
        <v>1.01740213381027E-2</v>
      </c>
      <c r="FJ90" s="1">
        <v>4.6477209215419299E-2</v>
      </c>
      <c r="FM90" s="1">
        <v>0.36928001995558901</v>
      </c>
    </row>
    <row r="91" spans="1:169" x14ac:dyDescent="0.2">
      <c r="A91" s="1" t="s">
        <v>1682</v>
      </c>
      <c r="B91" s="1" t="s">
        <v>55</v>
      </c>
      <c r="C91" s="1" t="s">
        <v>236</v>
      </c>
      <c r="E91" s="1">
        <v>11</v>
      </c>
      <c r="F91" s="1" t="s">
        <v>1390</v>
      </c>
      <c r="H91" s="1" t="s">
        <v>1683</v>
      </c>
      <c r="I91" s="1" t="s">
        <v>7</v>
      </c>
      <c r="J91" s="1" t="s">
        <v>1393</v>
      </c>
      <c r="K91" s="1" t="s">
        <v>1394</v>
      </c>
      <c r="L91" s="1" t="s">
        <v>1393</v>
      </c>
      <c r="M91" s="1" t="s">
        <v>1684</v>
      </c>
      <c r="N91" s="1" t="s">
        <v>1685</v>
      </c>
      <c r="O91" s="1">
        <v>1</v>
      </c>
      <c r="Q91" s="1">
        <v>2008</v>
      </c>
      <c r="R91" s="1" t="s">
        <v>1686</v>
      </c>
      <c r="S91" s="1" t="s">
        <v>27</v>
      </c>
      <c r="T91" s="6">
        <v>1</v>
      </c>
      <c r="U91" s="1">
        <v>74.55</v>
      </c>
      <c r="W91" s="1">
        <v>8.3000000000000007</v>
      </c>
    </row>
    <row r="92" spans="1:169" x14ac:dyDescent="0.2">
      <c r="A92" s="1" t="s">
        <v>1687</v>
      </c>
      <c r="B92" s="1" t="s">
        <v>55</v>
      </c>
      <c r="C92" s="1" t="s">
        <v>236</v>
      </c>
      <c r="E92" s="1">
        <v>11</v>
      </c>
      <c r="F92" s="1" t="s">
        <v>1688</v>
      </c>
      <c r="H92" s="1" t="s">
        <v>1689</v>
      </c>
      <c r="I92" s="1" t="s">
        <v>7</v>
      </c>
      <c r="J92" s="1" t="s">
        <v>1690</v>
      </c>
      <c r="K92" s="1" t="s">
        <v>1691</v>
      </c>
      <c r="L92" s="1" t="s">
        <v>1692</v>
      </c>
      <c r="M92" s="1" t="s">
        <v>1684</v>
      </c>
      <c r="N92" s="1" t="s">
        <v>1693</v>
      </c>
      <c r="O92" s="1">
        <v>1</v>
      </c>
      <c r="Q92" s="1">
        <v>2008</v>
      </c>
      <c r="R92" s="1" t="s">
        <v>1686</v>
      </c>
      <c r="S92" s="1" t="s">
        <v>27</v>
      </c>
      <c r="T92" s="6">
        <v>1</v>
      </c>
      <c r="U92" s="1">
        <v>74.2</v>
      </c>
      <c r="W92" s="1">
        <v>10.26</v>
      </c>
    </row>
    <row r="93" spans="1:169" x14ac:dyDescent="0.2">
      <c r="A93" s="1" t="s">
        <v>1694</v>
      </c>
      <c r="B93" s="1" t="s">
        <v>55</v>
      </c>
      <c r="C93" s="1" t="s">
        <v>236</v>
      </c>
      <c r="E93" s="1">
        <v>13</v>
      </c>
      <c r="F93" s="1" t="s">
        <v>1695</v>
      </c>
      <c r="H93" s="1" t="s">
        <v>1696</v>
      </c>
      <c r="I93" s="1" t="s">
        <v>7</v>
      </c>
      <c r="J93" s="1" t="s">
        <v>1697</v>
      </c>
      <c r="K93" s="1" t="s">
        <v>1698</v>
      </c>
      <c r="L93" s="1" t="s">
        <v>1697</v>
      </c>
      <c r="M93" s="1" t="s">
        <v>1699</v>
      </c>
      <c r="N93" s="1" t="s">
        <v>1700</v>
      </c>
      <c r="O93" s="1">
        <v>1</v>
      </c>
      <c r="Q93" s="1">
        <v>2008</v>
      </c>
      <c r="R93" s="1" t="s">
        <v>1686</v>
      </c>
      <c r="S93" s="1" t="s">
        <v>27</v>
      </c>
      <c r="T93" s="6">
        <v>1</v>
      </c>
      <c r="U93" s="1">
        <v>78.150000000000006</v>
      </c>
      <c r="W93" s="1">
        <v>6.34</v>
      </c>
    </row>
    <row r="94" spans="1:169" x14ac:dyDescent="0.2">
      <c r="A94" s="1" t="s">
        <v>1701</v>
      </c>
      <c r="B94" s="1" t="s">
        <v>55</v>
      </c>
      <c r="C94" s="1" t="s">
        <v>1702</v>
      </c>
      <c r="D94" s="1" t="s">
        <v>4</v>
      </c>
      <c r="E94" s="1">
        <v>38</v>
      </c>
      <c r="F94" s="1" t="s">
        <v>1703</v>
      </c>
      <c r="H94" s="1" t="s">
        <v>1704</v>
      </c>
      <c r="I94" s="1" t="s">
        <v>7</v>
      </c>
      <c r="K94" s="1" t="s">
        <v>1705</v>
      </c>
      <c r="L94" s="1" t="s">
        <v>1706</v>
      </c>
      <c r="M94" s="1" t="s">
        <v>1707</v>
      </c>
      <c r="N94" s="1" t="s">
        <v>1708</v>
      </c>
      <c r="O94" s="1">
        <v>1</v>
      </c>
      <c r="Q94" s="1">
        <v>1985</v>
      </c>
      <c r="R94" s="1" t="s">
        <v>1709</v>
      </c>
      <c r="S94" s="1" t="s">
        <v>27</v>
      </c>
      <c r="T94" s="6">
        <v>1</v>
      </c>
      <c r="U94" s="1">
        <v>75.3</v>
      </c>
      <c r="V94" s="1">
        <v>1</v>
      </c>
    </row>
    <row r="95" spans="1:169" x14ac:dyDescent="0.2">
      <c r="A95" s="1" t="s">
        <v>1710</v>
      </c>
      <c r="B95" s="1" t="s">
        <v>55</v>
      </c>
      <c r="C95" s="1" t="s">
        <v>1702</v>
      </c>
      <c r="D95" s="1" t="s">
        <v>2</v>
      </c>
      <c r="E95" s="1">
        <v>23</v>
      </c>
      <c r="F95" s="1" t="s">
        <v>1711</v>
      </c>
      <c r="H95" s="1" t="s">
        <v>1712</v>
      </c>
      <c r="I95" s="1" t="s">
        <v>7</v>
      </c>
      <c r="J95" s="1" t="s">
        <v>1713</v>
      </c>
      <c r="K95" s="1" t="s">
        <v>1714</v>
      </c>
      <c r="L95" s="1" t="s">
        <v>1713</v>
      </c>
      <c r="M95" s="1" t="s">
        <v>1715</v>
      </c>
      <c r="N95" s="1" t="s">
        <v>1716</v>
      </c>
      <c r="O95" s="1">
        <v>1</v>
      </c>
      <c r="Q95" s="1">
        <v>1985</v>
      </c>
      <c r="R95" s="1" t="s">
        <v>1709</v>
      </c>
      <c r="S95" s="1" t="s">
        <v>27</v>
      </c>
      <c r="T95" s="6">
        <v>1</v>
      </c>
      <c r="U95" s="1">
        <v>72.400000000000006</v>
      </c>
      <c r="V95" s="1">
        <v>7.2</v>
      </c>
    </row>
    <row r="96" spans="1:169" x14ac:dyDescent="0.2">
      <c r="A96" s="1" t="s">
        <v>1717</v>
      </c>
      <c r="B96" s="1" t="s">
        <v>55</v>
      </c>
      <c r="C96" s="1" t="s">
        <v>1702</v>
      </c>
      <c r="D96" s="1" t="s">
        <v>2</v>
      </c>
      <c r="E96" s="1">
        <v>23</v>
      </c>
      <c r="F96" s="1" t="s">
        <v>1711</v>
      </c>
      <c r="H96" s="1" t="s">
        <v>1718</v>
      </c>
      <c r="I96" s="1" t="s">
        <v>7</v>
      </c>
      <c r="J96" s="1" t="s">
        <v>1713</v>
      </c>
      <c r="K96" s="1" t="s">
        <v>1714</v>
      </c>
      <c r="L96" s="1" t="s">
        <v>1713</v>
      </c>
      <c r="M96" s="1" t="s">
        <v>1715</v>
      </c>
      <c r="N96" s="1" t="s">
        <v>1719</v>
      </c>
      <c r="O96" s="1">
        <v>1</v>
      </c>
      <c r="Q96" s="1">
        <v>1985</v>
      </c>
      <c r="R96" s="1" t="s">
        <v>1709</v>
      </c>
      <c r="S96" s="1" t="s">
        <v>27</v>
      </c>
      <c r="T96" s="6">
        <v>1</v>
      </c>
      <c r="U96" s="1">
        <v>75.599999999999994</v>
      </c>
      <c r="V96" s="1">
        <v>4.3</v>
      </c>
    </row>
    <row r="97" spans="1:169" x14ac:dyDescent="0.2">
      <c r="A97" s="1" t="s">
        <v>1720</v>
      </c>
      <c r="B97" s="1" t="s">
        <v>55</v>
      </c>
      <c r="C97" s="1" t="s">
        <v>236</v>
      </c>
      <c r="E97" s="1">
        <v>11</v>
      </c>
      <c r="F97" s="1" t="s">
        <v>1721</v>
      </c>
      <c r="G97" s="1" t="s">
        <v>1722</v>
      </c>
      <c r="H97" s="1" t="s">
        <v>1723</v>
      </c>
      <c r="I97" s="1" t="s">
        <v>7</v>
      </c>
      <c r="J97" s="1" t="s">
        <v>1724</v>
      </c>
      <c r="L97" s="1" t="s">
        <v>1725</v>
      </c>
      <c r="P97" s="1" t="s">
        <v>1726</v>
      </c>
      <c r="Q97" s="1">
        <v>2008</v>
      </c>
      <c r="R97" s="1" t="s">
        <v>1727</v>
      </c>
      <c r="S97" s="1" t="s">
        <v>27</v>
      </c>
      <c r="T97" s="6">
        <v>1</v>
      </c>
      <c r="U97" s="1">
        <v>78.3</v>
      </c>
      <c r="X97" s="1">
        <v>1.5</v>
      </c>
    </row>
    <row r="98" spans="1:169" x14ac:dyDescent="0.2">
      <c r="A98" s="1" t="s">
        <v>1728</v>
      </c>
      <c r="B98" s="1" t="s">
        <v>55</v>
      </c>
      <c r="C98" s="1" t="s">
        <v>236</v>
      </c>
      <c r="E98" s="1">
        <v>11</v>
      </c>
      <c r="F98" s="1" t="s">
        <v>1721</v>
      </c>
      <c r="G98" s="1" t="s">
        <v>1729</v>
      </c>
      <c r="H98" s="1" t="s">
        <v>1723</v>
      </c>
      <c r="I98" s="1" t="s">
        <v>7</v>
      </c>
      <c r="J98" s="1" t="s">
        <v>1730</v>
      </c>
      <c r="L98" s="1" t="s">
        <v>1725</v>
      </c>
      <c r="P98" s="1" t="s">
        <v>1726</v>
      </c>
      <c r="Q98" s="1">
        <v>2008</v>
      </c>
      <c r="R98" s="1" t="s">
        <v>1727</v>
      </c>
      <c r="S98" s="1" t="s">
        <v>27</v>
      </c>
      <c r="T98" s="6">
        <v>1</v>
      </c>
      <c r="U98" s="1">
        <v>74.3</v>
      </c>
      <c r="X98" s="1">
        <v>6.1</v>
      </c>
    </row>
    <row r="99" spans="1:169" x14ac:dyDescent="0.2">
      <c r="A99" s="1" t="s">
        <v>1731</v>
      </c>
      <c r="B99" s="1" t="s">
        <v>55</v>
      </c>
      <c r="C99" s="1" t="s">
        <v>236</v>
      </c>
      <c r="E99" s="1">
        <v>11</v>
      </c>
      <c r="F99" s="1" t="s">
        <v>1390</v>
      </c>
      <c r="G99" s="1" t="s">
        <v>1732</v>
      </c>
      <c r="H99" s="1" t="s">
        <v>1733</v>
      </c>
      <c r="I99" s="1" t="s">
        <v>7</v>
      </c>
      <c r="J99" s="1" t="s">
        <v>1393</v>
      </c>
      <c r="K99" s="1" t="s">
        <v>1394</v>
      </c>
      <c r="L99" s="1" t="s">
        <v>1393</v>
      </c>
      <c r="P99" s="1" t="s">
        <v>1726</v>
      </c>
      <c r="Q99" s="1">
        <v>2008</v>
      </c>
      <c r="R99" s="1" t="s">
        <v>1727</v>
      </c>
      <c r="S99" s="1" t="s">
        <v>27</v>
      </c>
      <c r="T99" s="6">
        <v>1</v>
      </c>
      <c r="U99" s="1">
        <v>73.099999999999994</v>
      </c>
      <c r="X99" s="1">
        <v>8.9</v>
      </c>
    </row>
    <row r="100" spans="1:169" x14ac:dyDescent="0.2">
      <c r="A100" s="1" t="s">
        <v>1734</v>
      </c>
      <c r="B100" s="1" t="s">
        <v>55</v>
      </c>
      <c r="C100" s="1" t="s">
        <v>236</v>
      </c>
      <c r="E100" s="1">
        <v>23</v>
      </c>
      <c r="F100" s="1" t="s">
        <v>1735</v>
      </c>
      <c r="G100" s="1" t="s">
        <v>1736</v>
      </c>
      <c r="H100" s="1" t="s">
        <v>1737</v>
      </c>
      <c r="I100" s="1" t="s">
        <v>7</v>
      </c>
      <c r="J100" s="1" t="s">
        <v>1738</v>
      </c>
      <c r="K100" s="1" t="s">
        <v>1739</v>
      </c>
      <c r="L100" s="1" t="s">
        <v>1738</v>
      </c>
      <c r="P100" s="1" t="s">
        <v>1726</v>
      </c>
      <c r="Q100" s="1">
        <v>2008</v>
      </c>
      <c r="R100" s="1" t="s">
        <v>1727</v>
      </c>
      <c r="S100" s="1" t="s">
        <v>27</v>
      </c>
      <c r="T100" s="6">
        <v>1</v>
      </c>
      <c r="U100" s="1">
        <v>74.900000000000006</v>
      </c>
      <c r="X100" s="1">
        <v>4.5999999999999996</v>
      </c>
    </row>
    <row r="101" spans="1:169" x14ac:dyDescent="0.2">
      <c r="A101" s="1" t="s">
        <v>1740</v>
      </c>
      <c r="B101" s="1" t="s">
        <v>55</v>
      </c>
      <c r="C101" s="1" t="s">
        <v>236</v>
      </c>
      <c r="E101" s="1">
        <v>35</v>
      </c>
      <c r="F101" s="1" t="s">
        <v>1741</v>
      </c>
      <c r="H101" s="1" t="s">
        <v>1742</v>
      </c>
      <c r="I101" s="1" t="s">
        <v>7</v>
      </c>
      <c r="J101" s="1" t="s">
        <v>1743</v>
      </c>
      <c r="K101" s="1" t="s">
        <v>1744</v>
      </c>
      <c r="L101" s="1" t="s">
        <v>1743</v>
      </c>
      <c r="O101" s="1">
        <v>1</v>
      </c>
      <c r="P101" s="1" t="s">
        <v>1745</v>
      </c>
      <c r="Q101" s="1">
        <v>2008</v>
      </c>
      <c r="R101" s="1" t="s">
        <v>1746</v>
      </c>
      <c r="S101" s="1" t="s">
        <v>27</v>
      </c>
      <c r="T101" s="6">
        <v>1</v>
      </c>
      <c r="V101" s="1">
        <v>7.51</v>
      </c>
      <c r="Y101" s="1">
        <v>1.52</v>
      </c>
      <c r="Z101" s="1">
        <v>0.93700000000000006</v>
      </c>
      <c r="AA101" s="1">
        <v>3.923</v>
      </c>
      <c r="AF101" s="1">
        <v>3.2410000000000001</v>
      </c>
      <c r="AG101" s="1">
        <v>0.68200000000000005</v>
      </c>
      <c r="AU101" s="1" t="s">
        <v>15</v>
      </c>
      <c r="AW101" s="1">
        <v>0.13400000000000001</v>
      </c>
      <c r="AY101" s="1" t="s">
        <v>15</v>
      </c>
      <c r="BA101" s="1">
        <v>0.96399999999999997</v>
      </c>
      <c r="BG101" s="1">
        <v>0.42199999999999999</v>
      </c>
      <c r="BI101" s="1" t="s">
        <v>15</v>
      </c>
      <c r="BQ101" s="1" t="s">
        <v>15</v>
      </c>
      <c r="BZ101" s="1">
        <v>9.7000000000000003E-2</v>
      </c>
      <c r="CI101" s="1">
        <v>0.84</v>
      </c>
      <c r="CL101" s="1" t="s">
        <v>15</v>
      </c>
      <c r="CP101" s="1" t="s">
        <v>15</v>
      </c>
      <c r="DK101" s="1">
        <v>0.17199999999999999</v>
      </c>
      <c r="DT101" s="1" t="s">
        <v>15</v>
      </c>
      <c r="ED101" s="1" t="s">
        <v>15</v>
      </c>
      <c r="EF101" s="1">
        <v>0.21099999999999999</v>
      </c>
      <c r="ET101" s="1" t="s">
        <v>15</v>
      </c>
      <c r="EX101" s="1">
        <v>0.51</v>
      </c>
      <c r="FE101" s="1">
        <v>0.70099999999999996</v>
      </c>
      <c r="FJ101" s="1">
        <v>0.96399999999999997</v>
      </c>
      <c r="FM101" s="1">
        <v>1.365</v>
      </c>
    </row>
    <row r="102" spans="1:169" x14ac:dyDescent="0.2">
      <c r="A102" s="1" t="s">
        <v>1747</v>
      </c>
      <c r="B102" s="1" t="s">
        <v>55</v>
      </c>
      <c r="C102" s="1" t="s">
        <v>236</v>
      </c>
      <c r="E102" s="1">
        <v>32</v>
      </c>
      <c r="F102" s="1" t="s">
        <v>1748</v>
      </c>
      <c r="H102" s="1" t="s">
        <v>1749</v>
      </c>
      <c r="I102" s="1" t="s">
        <v>7</v>
      </c>
      <c r="J102" s="1" t="s">
        <v>1750</v>
      </c>
      <c r="K102" s="1" t="s">
        <v>1751</v>
      </c>
      <c r="L102" s="1" t="s">
        <v>1750</v>
      </c>
      <c r="O102" s="1">
        <v>4</v>
      </c>
      <c r="P102" s="1" t="s">
        <v>1752</v>
      </c>
      <c r="Q102" s="1">
        <v>2008</v>
      </c>
      <c r="R102" s="1" t="s">
        <v>1746</v>
      </c>
      <c r="S102" s="1" t="s">
        <v>27</v>
      </c>
      <c r="T102" s="6">
        <v>1</v>
      </c>
      <c r="V102" s="1">
        <v>0.3</v>
      </c>
      <c r="Y102" s="1">
        <v>5.7000000000000002E-2</v>
      </c>
      <c r="Z102" s="1">
        <v>2.4E-2</v>
      </c>
      <c r="AA102" s="1">
        <v>0.121</v>
      </c>
      <c r="AF102" s="1">
        <v>0.112</v>
      </c>
      <c r="AG102" s="1">
        <v>8.0000000000000002E-3</v>
      </c>
      <c r="AU102" s="1" t="s">
        <v>15</v>
      </c>
      <c r="AW102" s="1">
        <v>1E-3</v>
      </c>
      <c r="AY102" s="1" t="s">
        <v>15</v>
      </c>
      <c r="BA102" s="1">
        <v>4.4999999999999998E-2</v>
      </c>
      <c r="BG102" s="1">
        <v>0.01</v>
      </c>
      <c r="BI102" s="1" t="s">
        <v>15</v>
      </c>
      <c r="BQ102" s="1" t="s">
        <v>15</v>
      </c>
      <c r="BZ102" s="1">
        <v>2E-3</v>
      </c>
      <c r="CI102" s="1">
        <v>1.9E-2</v>
      </c>
      <c r="CL102" s="1">
        <v>2E-3</v>
      </c>
      <c r="CP102" s="1">
        <v>2E-3</v>
      </c>
      <c r="DK102" s="1">
        <v>1E-3</v>
      </c>
      <c r="DT102" s="1" t="s">
        <v>15</v>
      </c>
      <c r="ED102" s="1" t="s">
        <v>15</v>
      </c>
      <c r="EF102" s="1" t="s">
        <v>15</v>
      </c>
      <c r="ET102" s="1">
        <v>5.0000000000000001E-3</v>
      </c>
      <c r="EX102" s="1">
        <v>7.0000000000000001E-3</v>
      </c>
      <c r="FE102" s="1">
        <v>2.8000000000000001E-2</v>
      </c>
      <c r="FJ102" s="1">
        <v>4.0000000000000001E-3</v>
      </c>
      <c r="FM102" s="1">
        <v>7.4999999999999997E-2</v>
      </c>
    </row>
    <row r="103" spans="1:169" x14ac:dyDescent="0.2">
      <c r="A103" s="1" t="s">
        <v>1753</v>
      </c>
      <c r="B103" s="1" t="s">
        <v>55</v>
      </c>
      <c r="C103" s="1" t="s">
        <v>236</v>
      </c>
      <c r="E103" s="1">
        <v>22</v>
      </c>
      <c r="F103" s="1" t="s">
        <v>1754</v>
      </c>
      <c r="H103" s="1" t="s">
        <v>1755</v>
      </c>
      <c r="I103" s="1" t="s">
        <v>7</v>
      </c>
      <c r="J103" s="1" t="s">
        <v>1756</v>
      </c>
      <c r="K103" s="1" t="s">
        <v>1757</v>
      </c>
      <c r="L103" s="1" t="s">
        <v>1756</v>
      </c>
      <c r="O103" s="1">
        <v>1</v>
      </c>
      <c r="P103" s="1" t="s">
        <v>1752</v>
      </c>
      <c r="Q103" s="1">
        <v>2008</v>
      </c>
      <c r="R103" s="1" t="s">
        <v>1746</v>
      </c>
      <c r="S103" s="1" t="s">
        <v>27</v>
      </c>
      <c r="T103" s="6">
        <v>1</v>
      </c>
      <c r="V103" s="1">
        <v>20.399999999999999</v>
      </c>
      <c r="Y103" s="1">
        <v>5.5830000000000002</v>
      </c>
      <c r="Z103" s="1">
        <v>9.5909999999999993</v>
      </c>
      <c r="AA103" s="1">
        <v>3.2050000000000001</v>
      </c>
      <c r="AF103" s="1">
        <v>1.881</v>
      </c>
      <c r="AG103" s="1">
        <v>1.284</v>
      </c>
      <c r="AU103" s="1">
        <v>5.6000000000000001E-2</v>
      </c>
      <c r="AW103" s="1">
        <v>0.67500000000000004</v>
      </c>
      <c r="AY103" s="1">
        <v>3.1E-2</v>
      </c>
      <c r="BA103" s="1">
        <v>3.5249999999999999</v>
      </c>
      <c r="BG103" s="1">
        <v>0.84699999999999998</v>
      </c>
      <c r="BI103" s="1" t="s">
        <v>15</v>
      </c>
      <c r="BQ103" s="1">
        <v>0.112</v>
      </c>
      <c r="BZ103" s="1">
        <v>1.7589999999999999</v>
      </c>
      <c r="CI103" s="1">
        <v>7.3789999999999996</v>
      </c>
      <c r="CL103" s="1" t="s">
        <v>15</v>
      </c>
      <c r="CP103" s="1" t="s">
        <v>15</v>
      </c>
      <c r="DK103" s="1">
        <v>0.61799999999999999</v>
      </c>
      <c r="DT103" s="1" t="s">
        <v>15</v>
      </c>
      <c r="ED103" s="1" t="s">
        <v>15</v>
      </c>
      <c r="EF103" s="1">
        <v>0.151</v>
      </c>
      <c r="ET103" s="1">
        <v>0.29599999999999999</v>
      </c>
      <c r="EX103" s="1">
        <v>0.66600000000000004</v>
      </c>
      <c r="FE103" s="1">
        <v>0.432</v>
      </c>
      <c r="FJ103" s="1">
        <v>0.28599999999999998</v>
      </c>
      <c r="FM103" s="1">
        <v>0.71599999999999997</v>
      </c>
    </row>
    <row r="104" spans="1:169" x14ac:dyDescent="0.2">
      <c r="A104" s="1" t="s">
        <v>1758</v>
      </c>
      <c r="B104" s="1" t="s">
        <v>55</v>
      </c>
      <c r="C104" s="1" t="s">
        <v>236</v>
      </c>
      <c r="E104" s="1">
        <v>34</v>
      </c>
      <c r="F104" s="1" t="s">
        <v>1759</v>
      </c>
      <c r="H104" s="1" t="s">
        <v>1760</v>
      </c>
      <c r="I104" s="1" t="s">
        <v>7</v>
      </c>
      <c r="J104" s="1" t="s">
        <v>1761</v>
      </c>
      <c r="K104" s="1" t="s">
        <v>1762</v>
      </c>
      <c r="L104" s="1" t="s">
        <v>1761</v>
      </c>
      <c r="O104" s="1">
        <v>3</v>
      </c>
      <c r="P104" s="1" t="s">
        <v>1752</v>
      </c>
      <c r="Q104" s="1">
        <v>2008</v>
      </c>
      <c r="R104" s="1" t="s">
        <v>1746</v>
      </c>
      <c r="S104" s="1" t="s">
        <v>27</v>
      </c>
      <c r="T104" s="6">
        <v>1</v>
      </c>
      <c r="V104" s="1">
        <v>5.78</v>
      </c>
      <c r="Y104" s="1">
        <v>0.84699999999999998</v>
      </c>
      <c r="Z104" s="1">
        <v>2.2120000000000002</v>
      </c>
      <c r="AA104" s="1">
        <v>2.141</v>
      </c>
      <c r="AF104" s="1">
        <v>1.9390000000000001</v>
      </c>
      <c r="AG104" s="1">
        <v>0.2</v>
      </c>
      <c r="AU104" s="1">
        <v>7.8E-2</v>
      </c>
      <c r="AW104" s="1">
        <v>2.5999999999999999E-2</v>
      </c>
      <c r="AY104" s="1" t="s">
        <v>15</v>
      </c>
      <c r="BA104" s="1">
        <v>0.54100000000000004</v>
      </c>
      <c r="BG104" s="1">
        <v>7.6999999999999999E-2</v>
      </c>
      <c r="BI104" s="1">
        <v>8.0000000000000002E-3</v>
      </c>
      <c r="BQ104" s="1" t="s">
        <v>15</v>
      </c>
      <c r="BZ104" s="1">
        <v>0.41199999999999998</v>
      </c>
      <c r="CI104" s="1">
        <v>1.6160000000000001</v>
      </c>
      <c r="CL104" s="1">
        <v>0.106</v>
      </c>
      <c r="CP104" s="1">
        <v>0.03</v>
      </c>
      <c r="DK104" s="1">
        <v>0.13200000000000001</v>
      </c>
      <c r="DT104" s="1" t="s">
        <v>15</v>
      </c>
      <c r="ED104" s="1">
        <v>3.0000000000000001E-3</v>
      </c>
      <c r="EF104" s="1">
        <v>6.0000000000000001E-3</v>
      </c>
      <c r="ET104" s="1">
        <v>0.66700000000000004</v>
      </c>
      <c r="EX104" s="1">
        <v>6.5000000000000002E-2</v>
      </c>
      <c r="FE104" s="1">
        <v>0.47099999999999997</v>
      </c>
      <c r="FJ104" s="1">
        <v>5.2999999999999999E-2</v>
      </c>
      <c r="FM104" s="1">
        <v>0.74199999999999999</v>
      </c>
    </row>
    <row r="105" spans="1:169" x14ac:dyDescent="0.2">
      <c r="A105" s="1" t="s">
        <v>1763</v>
      </c>
      <c r="B105" s="1" t="s">
        <v>55</v>
      </c>
      <c r="C105" s="1" t="s">
        <v>236</v>
      </c>
      <c r="E105" s="1">
        <v>23</v>
      </c>
      <c r="F105" s="1" t="s">
        <v>1764</v>
      </c>
      <c r="H105" s="1" t="s">
        <v>1765</v>
      </c>
      <c r="I105" s="1" t="s">
        <v>7</v>
      </c>
      <c r="J105" s="1" t="s">
        <v>1766</v>
      </c>
      <c r="K105" s="1" t="s">
        <v>1767</v>
      </c>
      <c r="L105" s="1" t="s">
        <v>1766</v>
      </c>
      <c r="O105" s="1">
        <v>4</v>
      </c>
      <c r="P105" s="1" t="s">
        <v>1752</v>
      </c>
      <c r="Q105" s="1">
        <v>2008</v>
      </c>
      <c r="R105" s="1" t="s">
        <v>1746</v>
      </c>
      <c r="S105" s="1" t="s">
        <v>27</v>
      </c>
      <c r="T105" s="6">
        <v>1</v>
      </c>
      <c r="V105" s="1">
        <v>0.44</v>
      </c>
      <c r="Y105" s="1">
        <v>7.3999999999999996E-2</v>
      </c>
      <c r="Z105" s="1">
        <v>6.6000000000000003E-2</v>
      </c>
      <c r="AA105" s="1">
        <v>0.16800000000000001</v>
      </c>
      <c r="AF105" s="1">
        <v>0.159</v>
      </c>
      <c r="AG105" s="1">
        <v>7.0000000000000001E-3</v>
      </c>
      <c r="AU105" s="1" t="s">
        <v>15</v>
      </c>
      <c r="AW105" s="1">
        <v>4.0000000000000001E-3</v>
      </c>
      <c r="AY105" s="1" t="s">
        <v>15</v>
      </c>
      <c r="BA105" s="1">
        <v>0.05</v>
      </c>
      <c r="BG105" s="1">
        <v>1.6E-2</v>
      </c>
      <c r="BI105" s="1" t="s">
        <v>15</v>
      </c>
      <c r="BQ105" s="1" t="s">
        <v>15</v>
      </c>
      <c r="BZ105" s="1">
        <v>6.0000000000000001E-3</v>
      </c>
      <c r="CI105" s="1">
        <v>4.4999999999999998E-2</v>
      </c>
      <c r="CL105" s="1">
        <v>2E-3</v>
      </c>
      <c r="CP105" s="1">
        <v>1E-3</v>
      </c>
      <c r="DK105" s="1">
        <v>3.0000000000000001E-3</v>
      </c>
      <c r="DT105" s="1" t="s">
        <v>15</v>
      </c>
      <c r="ED105" s="1" t="s">
        <v>15</v>
      </c>
      <c r="EF105" s="1">
        <v>2E-3</v>
      </c>
      <c r="ET105" s="1">
        <v>0.03</v>
      </c>
      <c r="EX105" s="1">
        <v>4.0000000000000001E-3</v>
      </c>
      <c r="FE105" s="1">
        <v>4.1000000000000002E-2</v>
      </c>
      <c r="FJ105" s="1">
        <v>8.0000000000000002E-3</v>
      </c>
      <c r="FM105" s="1">
        <v>7.8E-2</v>
      </c>
    </row>
    <row r="106" spans="1:169" x14ac:dyDescent="0.2">
      <c r="A106" s="1" t="s">
        <v>1768</v>
      </c>
      <c r="B106" s="1" t="s">
        <v>55</v>
      </c>
      <c r="C106" s="1" t="s">
        <v>236</v>
      </c>
      <c r="E106" s="1">
        <v>32</v>
      </c>
      <c r="F106" s="1" t="s">
        <v>1769</v>
      </c>
      <c r="H106" s="1" t="s">
        <v>1770</v>
      </c>
      <c r="I106" s="1" t="s">
        <v>7</v>
      </c>
      <c r="J106" s="1" t="s">
        <v>1771</v>
      </c>
      <c r="K106" s="1" t="s">
        <v>1772</v>
      </c>
      <c r="L106" s="1" t="s">
        <v>1771</v>
      </c>
      <c r="O106" s="1">
        <v>2</v>
      </c>
      <c r="P106" s="1" t="s">
        <v>1752</v>
      </c>
      <c r="Q106" s="1">
        <v>2008</v>
      </c>
      <c r="R106" s="1" t="s">
        <v>1746</v>
      </c>
      <c r="S106" s="1" t="s">
        <v>27</v>
      </c>
      <c r="T106" s="6">
        <v>1</v>
      </c>
      <c r="V106" s="1">
        <v>0.25</v>
      </c>
      <c r="Y106" s="1">
        <v>0.06</v>
      </c>
      <c r="Z106" s="1">
        <v>1.7999999999999999E-2</v>
      </c>
      <c r="AA106" s="1">
        <v>9.4E-2</v>
      </c>
      <c r="AF106" s="1">
        <v>8.5000000000000006E-2</v>
      </c>
      <c r="AG106" s="1">
        <v>0.01</v>
      </c>
      <c r="AU106" s="1" t="s">
        <v>15</v>
      </c>
      <c r="AW106" s="1" t="s">
        <v>15</v>
      </c>
      <c r="AY106" s="1" t="s">
        <v>15</v>
      </c>
      <c r="BA106" s="1">
        <v>4.3999999999999997E-2</v>
      </c>
      <c r="BG106" s="1">
        <v>1.0999999999999999E-2</v>
      </c>
      <c r="BI106" s="1" t="s">
        <v>15</v>
      </c>
      <c r="BQ106" s="1" t="s">
        <v>15</v>
      </c>
      <c r="BZ106" s="1">
        <v>1E-3</v>
      </c>
      <c r="CI106" s="1">
        <v>1.2E-2</v>
      </c>
      <c r="CL106" s="1" t="s">
        <v>15</v>
      </c>
      <c r="CP106" s="1">
        <v>4.0000000000000001E-3</v>
      </c>
      <c r="DK106" s="1">
        <v>2E-3</v>
      </c>
      <c r="DT106" s="1" t="s">
        <v>15</v>
      </c>
      <c r="ED106" s="1" t="s">
        <v>15</v>
      </c>
      <c r="EF106" s="1">
        <v>2E-3</v>
      </c>
      <c r="ET106" s="1" t="s">
        <v>15</v>
      </c>
      <c r="EX106" s="1">
        <v>8.0000000000000002E-3</v>
      </c>
      <c r="FE106" s="1">
        <v>1.7999999999999999E-2</v>
      </c>
      <c r="FJ106" s="1">
        <v>5.0000000000000001E-3</v>
      </c>
      <c r="FM106" s="1">
        <v>0.06</v>
      </c>
    </row>
    <row r="107" spans="1:169" x14ac:dyDescent="0.2">
      <c r="A107" s="1" t="s">
        <v>1773</v>
      </c>
      <c r="B107" s="1" t="s">
        <v>55</v>
      </c>
      <c r="C107" s="1" t="s">
        <v>236</v>
      </c>
      <c r="E107" s="1">
        <v>32</v>
      </c>
      <c r="F107" s="1" t="s">
        <v>1774</v>
      </c>
      <c r="H107" s="1" t="s">
        <v>1775</v>
      </c>
      <c r="I107" s="1" t="s">
        <v>7</v>
      </c>
      <c r="J107" s="1" t="s">
        <v>1776</v>
      </c>
      <c r="K107" s="1" t="s">
        <v>1777</v>
      </c>
      <c r="L107" s="1" t="s">
        <v>1776</v>
      </c>
      <c r="O107" s="1">
        <v>4</v>
      </c>
      <c r="P107" s="1" t="s">
        <v>1752</v>
      </c>
      <c r="Q107" s="1">
        <v>2008</v>
      </c>
      <c r="R107" s="1" t="s">
        <v>1746</v>
      </c>
      <c r="S107" s="1" t="s">
        <v>27</v>
      </c>
      <c r="T107" s="6">
        <v>1</v>
      </c>
      <c r="V107" s="1">
        <v>0.59</v>
      </c>
      <c r="Y107" s="1">
        <v>0.13</v>
      </c>
      <c r="Z107" s="1">
        <v>8.6999999999999994E-2</v>
      </c>
      <c r="AA107" s="1">
        <v>0.193</v>
      </c>
      <c r="AF107" s="1">
        <v>0.18</v>
      </c>
      <c r="AG107" s="1">
        <v>1.4E-2</v>
      </c>
      <c r="AU107" s="1" t="s">
        <v>15</v>
      </c>
      <c r="AW107" s="1">
        <v>7.0000000000000001E-3</v>
      </c>
      <c r="AY107" s="1" t="s">
        <v>15</v>
      </c>
      <c r="BA107" s="1">
        <v>8.8999999999999996E-2</v>
      </c>
      <c r="BG107" s="1">
        <v>2.1000000000000001E-2</v>
      </c>
      <c r="BI107" s="1">
        <v>1.0999999999999999E-2</v>
      </c>
      <c r="BQ107" s="1" t="s">
        <v>15</v>
      </c>
      <c r="BZ107" s="1">
        <v>1.2999999999999999E-2</v>
      </c>
      <c r="CI107" s="1">
        <v>7.2999999999999995E-2</v>
      </c>
      <c r="CL107" s="1" t="s">
        <v>15</v>
      </c>
      <c r="CP107" s="1" t="s">
        <v>15</v>
      </c>
      <c r="DK107" s="1">
        <v>3.0000000000000001E-3</v>
      </c>
      <c r="DT107" s="1" t="s">
        <v>15</v>
      </c>
      <c r="ED107" s="1">
        <v>1E-3</v>
      </c>
      <c r="EF107" s="1">
        <v>1E-3</v>
      </c>
      <c r="ET107" s="1">
        <v>8.9999999999999993E-3</v>
      </c>
      <c r="EX107" s="1">
        <v>0.01</v>
      </c>
      <c r="FE107" s="1">
        <v>2.8000000000000001E-2</v>
      </c>
      <c r="FJ107" s="1">
        <v>1.9E-2</v>
      </c>
      <c r="FM107" s="1">
        <v>0.123</v>
      </c>
    </row>
    <row r="108" spans="1:169" x14ac:dyDescent="0.2">
      <c r="A108" s="1" t="s">
        <v>1778</v>
      </c>
      <c r="B108" s="1" t="s">
        <v>55</v>
      </c>
      <c r="C108" s="1" t="s">
        <v>236</v>
      </c>
      <c r="E108" s="1">
        <v>34</v>
      </c>
      <c r="F108" s="1" t="s">
        <v>1779</v>
      </c>
      <c r="H108" s="1" t="s">
        <v>1780</v>
      </c>
      <c r="I108" s="1" t="s">
        <v>7</v>
      </c>
      <c r="J108" s="1" t="s">
        <v>1781</v>
      </c>
      <c r="K108" s="1" t="s">
        <v>1782</v>
      </c>
      <c r="L108" s="1" t="s">
        <v>1781</v>
      </c>
      <c r="O108" s="1">
        <v>2</v>
      </c>
      <c r="P108" s="1" t="s">
        <v>1752</v>
      </c>
      <c r="Q108" s="1">
        <v>2008</v>
      </c>
      <c r="R108" s="1" t="s">
        <v>1746</v>
      </c>
      <c r="S108" s="1" t="s">
        <v>27</v>
      </c>
      <c r="T108" s="6">
        <v>1</v>
      </c>
      <c r="V108" s="1">
        <v>0.59</v>
      </c>
      <c r="Y108" s="1">
        <v>0.129</v>
      </c>
      <c r="Z108" s="1">
        <v>6.3E-2</v>
      </c>
      <c r="AA108" s="1">
        <v>0.217</v>
      </c>
      <c r="AF108" s="1">
        <v>0.20300000000000001</v>
      </c>
      <c r="AG108" s="1">
        <v>1.2E-2</v>
      </c>
      <c r="AU108" s="1" t="s">
        <v>15</v>
      </c>
      <c r="AW108" s="1">
        <v>5.0000000000000001E-3</v>
      </c>
      <c r="AY108" s="1" t="s">
        <v>15</v>
      </c>
      <c r="BA108" s="1">
        <v>9.2999999999999999E-2</v>
      </c>
      <c r="BG108" s="1">
        <v>2.7E-2</v>
      </c>
      <c r="BI108" s="1">
        <v>2E-3</v>
      </c>
      <c r="BQ108" s="1" t="s">
        <v>15</v>
      </c>
      <c r="BZ108" s="1">
        <v>5.0000000000000001E-3</v>
      </c>
      <c r="CI108" s="1">
        <v>5.7000000000000002E-2</v>
      </c>
      <c r="CL108" s="1" t="s">
        <v>15</v>
      </c>
      <c r="CP108" s="1" t="s">
        <v>15</v>
      </c>
      <c r="DK108" s="1">
        <v>2E-3</v>
      </c>
      <c r="DT108" s="1" t="s">
        <v>15</v>
      </c>
      <c r="ED108" s="1" t="s">
        <v>15</v>
      </c>
      <c r="EF108" s="1">
        <v>2E-3</v>
      </c>
      <c r="ET108" s="1">
        <v>5.0000000000000001E-3</v>
      </c>
      <c r="EX108" s="1">
        <v>0.01</v>
      </c>
      <c r="FE108" s="1">
        <v>3.2000000000000001E-2</v>
      </c>
      <c r="FJ108" s="1">
        <v>8.0000000000000002E-3</v>
      </c>
      <c r="FM108" s="1">
        <v>0.156</v>
      </c>
    </row>
    <row r="109" spans="1:169" x14ac:dyDescent="0.2">
      <c r="A109" s="1" t="s">
        <v>1783</v>
      </c>
      <c r="B109" s="1" t="s">
        <v>55</v>
      </c>
      <c r="C109" s="1" t="s">
        <v>236</v>
      </c>
      <c r="E109" s="1">
        <v>37</v>
      </c>
      <c r="F109" s="1" t="s">
        <v>1601</v>
      </c>
      <c r="H109" s="1" t="s">
        <v>1784</v>
      </c>
      <c r="I109" s="1" t="s">
        <v>7</v>
      </c>
      <c r="J109" s="1" t="s">
        <v>1603</v>
      </c>
      <c r="K109" s="1" t="s">
        <v>1604</v>
      </c>
      <c r="L109" s="1" t="s">
        <v>1603</v>
      </c>
      <c r="O109" s="1">
        <v>4</v>
      </c>
      <c r="P109" s="1" t="s">
        <v>1752</v>
      </c>
      <c r="Q109" s="1">
        <v>2008</v>
      </c>
      <c r="R109" s="1" t="s">
        <v>1746</v>
      </c>
      <c r="S109" s="1" t="s">
        <v>27</v>
      </c>
      <c r="T109" s="6">
        <v>1</v>
      </c>
      <c r="V109" s="1">
        <v>7.07</v>
      </c>
      <c r="Y109" s="1">
        <v>1.867</v>
      </c>
      <c r="Z109" s="1">
        <v>1.4359999999999999</v>
      </c>
      <c r="AA109" s="1">
        <v>2.8450000000000002</v>
      </c>
      <c r="AF109" s="1">
        <v>2.585</v>
      </c>
      <c r="AG109" s="1">
        <v>0.25900000000000001</v>
      </c>
      <c r="AU109" s="1" t="s">
        <v>15</v>
      </c>
      <c r="AW109" s="1">
        <v>0.17899999999999999</v>
      </c>
      <c r="AY109" s="1">
        <v>0.01</v>
      </c>
      <c r="BA109" s="1">
        <v>1.198</v>
      </c>
      <c r="BG109" s="1">
        <v>0.32700000000000001</v>
      </c>
      <c r="BI109" s="1">
        <v>0.12</v>
      </c>
      <c r="BQ109" s="1" t="s">
        <v>15</v>
      </c>
      <c r="BZ109" s="1">
        <v>0.14499999999999999</v>
      </c>
      <c r="CI109" s="1">
        <v>1.258</v>
      </c>
      <c r="CL109" s="1" t="s">
        <v>15</v>
      </c>
      <c r="CP109" s="1">
        <v>1.4999999999999999E-2</v>
      </c>
      <c r="DK109" s="1">
        <v>0.14499999999999999</v>
      </c>
      <c r="DT109" s="1" t="s">
        <v>15</v>
      </c>
      <c r="ED109" s="1" t="s">
        <v>15</v>
      </c>
      <c r="EF109" s="1">
        <v>5.8000000000000003E-2</v>
      </c>
      <c r="ET109" s="1">
        <v>0.34300000000000003</v>
      </c>
      <c r="EX109" s="1">
        <v>0.114</v>
      </c>
      <c r="FE109" s="1">
        <v>0.66200000000000003</v>
      </c>
      <c r="FJ109" s="1">
        <v>0.11799999999999999</v>
      </c>
      <c r="FM109" s="1">
        <v>1.4039999999999999</v>
      </c>
    </row>
    <row r="110" spans="1:169" x14ac:dyDescent="0.2">
      <c r="A110" s="1" t="s">
        <v>1785</v>
      </c>
      <c r="B110" s="1" t="s">
        <v>55</v>
      </c>
      <c r="C110" s="1" t="s">
        <v>236</v>
      </c>
      <c r="E110" s="1">
        <v>32</v>
      </c>
      <c r="F110" s="1" t="s">
        <v>1786</v>
      </c>
      <c r="H110" s="1" t="s">
        <v>1787</v>
      </c>
      <c r="I110" s="1" t="s">
        <v>7</v>
      </c>
      <c r="J110" s="1" t="s">
        <v>1788</v>
      </c>
      <c r="K110" s="1" t="s">
        <v>1789</v>
      </c>
      <c r="L110" s="1" t="s">
        <v>1788</v>
      </c>
      <c r="O110" s="1">
        <v>3</v>
      </c>
      <c r="P110" s="1" t="s">
        <v>1752</v>
      </c>
      <c r="Q110" s="1">
        <v>2008</v>
      </c>
      <c r="R110" s="1" t="s">
        <v>1746</v>
      </c>
      <c r="S110" s="1" t="s">
        <v>27</v>
      </c>
      <c r="T110" s="6">
        <v>1</v>
      </c>
      <c r="V110" s="1">
        <v>0.27</v>
      </c>
      <c r="Y110" s="1">
        <v>6.4000000000000001E-2</v>
      </c>
      <c r="Z110" s="1">
        <v>2.4E-2</v>
      </c>
      <c r="AA110" s="1">
        <v>0.10299999999999999</v>
      </c>
      <c r="AF110" s="1">
        <v>9.6000000000000002E-2</v>
      </c>
      <c r="AG110" s="1">
        <v>5.0000000000000001E-3</v>
      </c>
      <c r="AU110" s="1" t="s">
        <v>15</v>
      </c>
      <c r="AW110" s="1" t="s">
        <v>15</v>
      </c>
      <c r="AY110" s="1" t="s">
        <v>15</v>
      </c>
      <c r="BA110" s="1">
        <v>4.4999999999999998E-2</v>
      </c>
      <c r="BG110" s="1">
        <v>1.0999999999999999E-2</v>
      </c>
      <c r="BI110" s="1" t="s">
        <v>15</v>
      </c>
      <c r="BQ110" s="1" t="s">
        <v>15</v>
      </c>
      <c r="BZ110" s="1">
        <v>2E-3</v>
      </c>
      <c r="CI110" s="1">
        <v>1.7999999999999999E-2</v>
      </c>
      <c r="CL110" s="1">
        <v>3.0000000000000001E-3</v>
      </c>
      <c r="CP110" s="1">
        <v>1E-3</v>
      </c>
      <c r="DK110" s="1">
        <v>1E-3</v>
      </c>
      <c r="DT110" s="1" t="s">
        <v>15</v>
      </c>
      <c r="ED110" s="1" t="s">
        <v>15</v>
      </c>
      <c r="EF110" s="1" t="s">
        <v>15</v>
      </c>
      <c r="ET110" s="1">
        <v>1E-3</v>
      </c>
      <c r="EX110" s="1">
        <v>4.0000000000000001E-3</v>
      </c>
      <c r="FE110" s="1">
        <v>1.4999999999999999E-2</v>
      </c>
      <c r="FJ110" s="1">
        <v>4.0000000000000001E-3</v>
      </c>
      <c r="FM110" s="1">
        <v>7.5999999999999998E-2</v>
      </c>
    </row>
    <row r="111" spans="1:169" x14ac:dyDescent="0.2">
      <c r="A111" s="1" t="s">
        <v>1790</v>
      </c>
      <c r="B111" s="1" t="s">
        <v>55</v>
      </c>
      <c r="C111" s="1" t="s">
        <v>236</v>
      </c>
      <c r="E111" s="1">
        <v>32</v>
      </c>
      <c r="F111" s="1" t="s">
        <v>1791</v>
      </c>
      <c r="H111" s="1" t="s">
        <v>1792</v>
      </c>
      <c r="I111" s="1" t="s">
        <v>7</v>
      </c>
      <c r="J111" s="1" t="s">
        <v>1793</v>
      </c>
      <c r="K111" s="1" t="s">
        <v>1794</v>
      </c>
      <c r="L111" s="1" t="s">
        <v>1793</v>
      </c>
      <c r="O111" s="1">
        <v>4</v>
      </c>
      <c r="P111" s="1" t="s">
        <v>1752</v>
      </c>
      <c r="Q111" s="1">
        <v>2008</v>
      </c>
      <c r="R111" s="1" t="s">
        <v>1746</v>
      </c>
      <c r="S111" s="1" t="s">
        <v>27</v>
      </c>
      <c r="T111" s="6">
        <v>1</v>
      </c>
      <c r="V111" s="1">
        <v>1.04</v>
      </c>
      <c r="Y111" s="1">
        <v>0.20599999999999999</v>
      </c>
      <c r="Z111" s="1">
        <v>0.17399999999999999</v>
      </c>
      <c r="AA111" s="1">
        <v>0.39100000000000001</v>
      </c>
      <c r="AF111" s="1">
        <v>0.26200000000000001</v>
      </c>
      <c r="AG111" s="1">
        <v>0.127</v>
      </c>
      <c r="AU111" s="1">
        <v>1.7000000000000001E-2</v>
      </c>
      <c r="AW111" s="1">
        <v>0.01</v>
      </c>
      <c r="AY111" s="1" t="s">
        <v>15</v>
      </c>
      <c r="BA111" s="1">
        <v>0.14399999999999999</v>
      </c>
      <c r="BG111" s="1">
        <v>3.2000000000000001E-2</v>
      </c>
      <c r="BI111" s="1">
        <v>2E-3</v>
      </c>
      <c r="BQ111" s="1" t="s">
        <v>15</v>
      </c>
      <c r="BZ111" s="1">
        <v>5.0000000000000001E-3</v>
      </c>
      <c r="CI111" s="1">
        <v>0.16200000000000001</v>
      </c>
      <c r="CL111" s="1">
        <v>5.0000000000000001E-3</v>
      </c>
      <c r="CP111" s="1">
        <v>1E-3</v>
      </c>
      <c r="DK111" s="1">
        <v>0.12</v>
      </c>
      <c r="DT111" s="1" t="s">
        <v>15</v>
      </c>
      <c r="ED111" s="1" t="s">
        <v>15</v>
      </c>
      <c r="EF111" s="1">
        <v>2E-3</v>
      </c>
      <c r="ET111" s="1">
        <v>8.9999999999999993E-3</v>
      </c>
      <c r="EX111" s="1">
        <v>7.0000000000000001E-3</v>
      </c>
      <c r="FE111" s="1">
        <v>7.0999999999999994E-2</v>
      </c>
      <c r="FJ111" s="1">
        <v>7.0000000000000001E-3</v>
      </c>
      <c r="FM111" s="1">
        <v>0.17299999999999999</v>
      </c>
    </row>
    <row r="112" spans="1:169" x14ac:dyDescent="0.2">
      <c r="A112" s="1" t="s">
        <v>1795</v>
      </c>
      <c r="B112" s="1" t="s">
        <v>55</v>
      </c>
      <c r="C112" s="1" t="s">
        <v>236</v>
      </c>
      <c r="E112" s="1">
        <v>23</v>
      </c>
      <c r="F112" s="1" t="s">
        <v>1274</v>
      </c>
      <c r="H112" s="1" t="s">
        <v>1796</v>
      </c>
      <c r="I112" s="1" t="s">
        <v>7</v>
      </c>
      <c r="J112" s="1" t="s">
        <v>1276</v>
      </c>
      <c r="K112" s="1" t="s">
        <v>1277</v>
      </c>
      <c r="L112" s="1" t="s">
        <v>1276</v>
      </c>
      <c r="O112" s="1">
        <v>4</v>
      </c>
      <c r="P112" s="1" t="s">
        <v>1752</v>
      </c>
      <c r="Q112" s="1">
        <v>2008</v>
      </c>
      <c r="R112" s="1" t="s">
        <v>1746</v>
      </c>
      <c r="S112" s="1" t="s">
        <v>27</v>
      </c>
      <c r="T112" s="6">
        <v>1</v>
      </c>
      <c r="V112" s="1">
        <v>13.5</v>
      </c>
      <c r="Y112" s="1">
        <v>4.0060000000000002</v>
      </c>
      <c r="Z112" s="1">
        <v>3.2370000000000001</v>
      </c>
      <c r="AA112" s="1">
        <v>5.1459999999999999</v>
      </c>
      <c r="AF112" s="1">
        <v>4.4710000000000001</v>
      </c>
      <c r="AG112" s="1">
        <v>0.67100000000000004</v>
      </c>
      <c r="AU112" s="1" t="s">
        <v>15</v>
      </c>
      <c r="AW112" s="1">
        <v>0.64</v>
      </c>
      <c r="AY112" s="1">
        <v>8.0000000000000002E-3</v>
      </c>
      <c r="BA112" s="1">
        <v>2.472</v>
      </c>
      <c r="BG112" s="1">
        <v>0.36</v>
      </c>
      <c r="BI112" s="1">
        <v>0.105</v>
      </c>
      <c r="BQ112" s="1">
        <v>7.0000000000000001E-3</v>
      </c>
      <c r="BZ112" s="1">
        <v>0.57599999999999996</v>
      </c>
      <c r="CI112" s="1">
        <v>2.2040000000000002</v>
      </c>
      <c r="CL112" s="1">
        <v>7.3999999999999996E-2</v>
      </c>
      <c r="CP112" s="1">
        <v>0.248</v>
      </c>
      <c r="DK112" s="1">
        <v>0.57699999999999996</v>
      </c>
      <c r="DT112" s="1" t="s">
        <v>15</v>
      </c>
      <c r="ED112" s="1">
        <v>1.2999999999999999E-2</v>
      </c>
      <c r="EF112" s="1">
        <v>0.17399999999999999</v>
      </c>
      <c r="ET112" s="1">
        <v>0.67200000000000004</v>
      </c>
      <c r="EX112" s="1">
        <v>8.1000000000000003E-2</v>
      </c>
      <c r="FE112" s="1">
        <v>1.1120000000000001</v>
      </c>
      <c r="FJ112" s="1">
        <v>0.34899999999999998</v>
      </c>
      <c r="FM112" s="1">
        <v>2.1640000000000001</v>
      </c>
    </row>
    <row r="113" spans="1:169" x14ac:dyDescent="0.2">
      <c r="A113" s="1" t="s">
        <v>1797</v>
      </c>
      <c r="B113" s="1" t="s">
        <v>55</v>
      </c>
      <c r="C113" s="1" t="s">
        <v>236</v>
      </c>
      <c r="E113" s="1">
        <v>35</v>
      </c>
      <c r="F113" s="1" t="s">
        <v>1798</v>
      </c>
      <c r="H113" s="1" t="s">
        <v>1799</v>
      </c>
      <c r="I113" s="1" t="s">
        <v>7</v>
      </c>
      <c r="J113" s="1" t="s">
        <v>1800</v>
      </c>
      <c r="K113" s="1" t="s">
        <v>1801</v>
      </c>
      <c r="L113" s="1" t="s">
        <v>1800</v>
      </c>
      <c r="O113" s="1">
        <v>4</v>
      </c>
      <c r="P113" s="1" t="s">
        <v>1752</v>
      </c>
      <c r="Q113" s="1">
        <v>2008</v>
      </c>
      <c r="R113" s="1" t="s">
        <v>1746</v>
      </c>
      <c r="S113" s="1" t="s">
        <v>27</v>
      </c>
      <c r="T113" s="6">
        <v>1</v>
      </c>
      <c r="V113" s="1">
        <v>5.72</v>
      </c>
      <c r="Y113" s="1">
        <v>1.7789999999999999</v>
      </c>
      <c r="Z113" s="1">
        <v>1.081</v>
      </c>
      <c r="AA113" s="1">
        <v>2.407</v>
      </c>
      <c r="AF113" s="1">
        <v>2.2709999999999999</v>
      </c>
      <c r="AG113" s="1">
        <v>0.13</v>
      </c>
      <c r="AU113" s="1" t="s">
        <v>15</v>
      </c>
      <c r="AW113" s="1">
        <v>0.17899999999999999</v>
      </c>
      <c r="AY113" s="1">
        <v>1.0999999999999999E-2</v>
      </c>
      <c r="BA113" s="1">
        <v>1.2</v>
      </c>
      <c r="BG113" s="1">
        <v>0.27600000000000002</v>
      </c>
      <c r="BI113" s="1">
        <v>4.2000000000000003E-2</v>
      </c>
      <c r="BQ113" s="1" t="s">
        <v>15</v>
      </c>
      <c r="BZ113" s="1">
        <v>0.19700000000000001</v>
      </c>
      <c r="CI113" s="1">
        <v>0.80800000000000005</v>
      </c>
      <c r="CL113" s="1">
        <v>3.0000000000000001E-3</v>
      </c>
      <c r="CP113" s="1" t="s">
        <v>15</v>
      </c>
      <c r="DK113" s="1">
        <v>3.6999999999999998E-2</v>
      </c>
      <c r="DT113" s="1" t="s">
        <v>15</v>
      </c>
      <c r="ED113" s="1">
        <v>4.0000000000000001E-3</v>
      </c>
      <c r="EF113" s="1">
        <v>0.04</v>
      </c>
      <c r="ET113" s="1">
        <v>0.14599999999999999</v>
      </c>
      <c r="EX113" s="1">
        <v>8.8999999999999996E-2</v>
      </c>
      <c r="FE113" s="1">
        <v>0.63800000000000001</v>
      </c>
      <c r="FJ113" s="1">
        <v>0.17799999999999999</v>
      </c>
      <c r="FM113" s="1">
        <v>1.2689999999999999</v>
      </c>
    </row>
    <row r="114" spans="1:169" x14ac:dyDescent="0.2">
      <c r="A114" s="1" t="s">
        <v>1802</v>
      </c>
      <c r="B114" s="1" t="s">
        <v>55</v>
      </c>
      <c r="C114" s="1" t="s">
        <v>236</v>
      </c>
      <c r="E114" s="1">
        <v>33</v>
      </c>
      <c r="F114" s="1" t="s">
        <v>1289</v>
      </c>
      <c r="H114" s="1" t="s">
        <v>1803</v>
      </c>
      <c r="I114" s="1" t="s">
        <v>7</v>
      </c>
      <c r="J114" s="1" t="s">
        <v>1291</v>
      </c>
      <c r="K114" s="1" t="s">
        <v>1292</v>
      </c>
      <c r="L114" s="1" t="s">
        <v>1291</v>
      </c>
      <c r="O114" s="1">
        <v>4</v>
      </c>
      <c r="P114" s="1" t="s">
        <v>1752</v>
      </c>
      <c r="Q114" s="1">
        <v>2008</v>
      </c>
      <c r="R114" s="1" t="s">
        <v>1746</v>
      </c>
      <c r="S114" s="1" t="s">
        <v>27</v>
      </c>
      <c r="T114" s="6">
        <v>1</v>
      </c>
      <c r="V114" s="1">
        <v>2.99</v>
      </c>
      <c r="Y114" s="1">
        <v>0.73199999999999998</v>
      </c>
      <c r="Z114" s="1">
        <v>0.56100000000000005</v>
      </c>
      <c r="AA114" s="1">
        <v>1.2210000000000001</v>
      </c>
      <c r="AF114" s="1">
        <v>1.091</v>
      </c>
      <c r="AG114" s="1">
        <v>0.123</v>
      </c>
      <c r="AU114" s="1">
        <v>2E-3</v>
      </c>
      <c r="AW114" s="1">
        <v>4.3999999999999997E-2</v>
      </c>
      <c r="AY114" s="1">
        <v>3.0000000000000001E-3</v>
      </c>
      <c r="BA114" s="1">
        <v>0.502</v>
      </c>
      <c r="BG114" s="1">
        <v>0.154</v>
      </c>
      <c r="BI114" s="1">
        <v>7.0000000000000001E-3</v>
      </c>
      <c r="BQ114" s="1">
        <v>1E-3</v>
      </c>
      <c r="BZ114" s="1">
        <v>0.124</v>
      </c>
      <c r="CI114" s="1">
        <v>0.38</v>
      </c>
      <c r="CL114" s="1">
        <v>2.7E-2</v>
      </c>
      <c r="CP114" s="1">
        <v>3.0000000000000001E-3</v>
      </c>
      <c r="DK114" s="1">
        <v>4.7E-2</v>
      </c>
      <c r="DT114" s="1">
        <v>2E-3</v>
      </c>
      <c r="ED114" s="1">
        <v>4.0000000000000001E-3</v>
      </c>
      <c r="EF114" s="1">
        <v>1.2E-2</v>
      </c>
      <c r="ET114" s="1">
        <v>0.04</v>
      </c>
      <c r="EX114" s="1">
        <v>7.1999999999999995E-2</v>
      </c>
      <c r="FE114" s="1">
        <v>0.35699999999999998</v>
      </c>
      <c r="FJ114" s="1">
        <v>6.5000000000000002E-2</v>
      </c>
      <c r="FM114" s="1">
        <v>0.61699999999999999</v>
      </c>
    </row>
    <row r="115" spans="1:169" x14ac:dyDescent="0.2">
      <c r="A115" s="1" t="s">
        <v>1804</v>
      </c>
      <c r="B115" s="1" t="s">
        <v>55</v>
      </c>
      <c r="C115" s="1" t="s">
        <v>236</v>
      </c>
      <c r="E115" s="1">
        <v>31</v>
      </c>
      <c r="F115" s="1" t="s">
        <v>1805</v>
      </c>
      <c r="H115" s="1" t="s">
        <v>1806</v>
      </c>
      <c r="I115" s="1" t="s">
        <v>7</v>
      </c>
      <c r="J115" s="1" t="s">
        <v>1807</v>
      </c>
      <c r="K115" s="1" t="s">
        <v>1808</v>
      </c>
      <c r="L115" s="1" t="s">
        <v>1807</v>
      </c>
      <c r="O115" s="1">
        <v>4</v>
      </c>
      <c r="P115" s="1" t="s">
        <v>1752</v>
      </c>
      <c r="Q115" s="1">
        <v>2008</v>
      </c>
      <c r="R115" s="1" t="s">
        <v>1746</v>
      </c>
      <c r="S115" s="1" t="s">
        <v>27</v>
      </c>
      <c r="T115" s="6">
        <v>1</v>
      </c>
      <c r="V115" s="1">
        <v>0.4</v>
      </c>
      <c r="Y115" s="1">
        <v>0.10100000000000001</v>
      </c>
      <c r="Z115" s="1">
        <v>5.1999999999999998E-2</v>
      </c>
      <c r="AA115" s="1">
        <v>0.128</v>
      </c>
      <c r="AF115" s="1">
        <v>0.109</v>
      </c>
      <c r="AG115" s="1">
        <v>1.9E-2</v>
      </c>
      <c r="AU115" s="1" t="s">
        <v>15</v>
      </c>
      <c r="AW115" s="1">
        <v>6.0000000000000001E-3</v>
      </c>
      <c r="AY115" s="1" t="s">
        <v>15</v>
      </c>
      <c r="BA115" s="1">
        <v>6.2E-2</v>
      </c>
      <c r="BG115" s="1">
        <v>2.1000000000000001E-2</v>
      </c>
      <c r="BI115" s="1">
        <v>4.0000000000000001E-3</v>
      </c>
      <c r="BQ115" s="1" t="s">
        <v>15</v>
      </c>
      <c r="BZ115" s="1">
        <v>1.2E-2</v>
      </c>
      <c r="CI115" s="1">
        <v>0.03</v>
      </c>
      <c r="CL115" s="1">
        <v>7.0000000000000001E-3</v>
      </c>
      <c r="CP115" s="1" t="s">
        <v>15</v>
      </c>
      <c r="DK115" s="1">
        <v>3.0000000000000001E-3</v>
      </c>
      <c r="DT115" s="1" t="s">
        <v>15</v>
      </c>
      <c r="ED115" s="1" t="s">
        <v>15</v>
      </c>
      <c r="EF115" s="1">
        <v>1E-3</v>
      </c>
      <c r="ET115" s="1" t="s">
        <v>15</v>
      </c>
      <c r="EX115" s="1">
        <v>1.6E-2</v>
      </c>
      <c r="FE115" s="1">
        <v>1.4E-2</v>
      </c>
      <c r="FJ115" s="1">
        <v>2.1999999999999999E-2</v>
      </c>
      <c r="FM115" s="1">
        <v>7.1999999999999995E-2</v>
      </c>
    </row>
    <row r="116" spans="1:169" x14ac:dyDescent="0.2">
      <c r="A116" s="1" t="s">
        <v>1809</v>
      </c>
      <c r="B116" s="1" t="s">
        <v>55</v>
      </c>
      <c r="C116" s="1" t="s">
        <v>236</v>
      </c>
      <c r="E116" s="1">
        <v>36</v>
      </c>
      <c r="F116" s="1" t="s">
        <v>1810</v>
      </c>
      <c r="H116" s="1" t="s">
        <v>1811</v>
      </c>
      <c r="I116" s="1" t="s">
        <v>7</v>
      </c>
      <c r="J116" s="1" t="s">
        <v>1812</v>
      </c>
      <c r="K116" s="1" t="s">
        <v>1813</v>
      </c>
      <c r="L116" s="1" t="s">
        <v>1812</v>
      </c>
      <c r="O116" s="1">
        <v>4</v>
      </c>
      <c r="P116" s="1" t="s">
        <v>1752</v>
      </c>
      <c r="Q116" s="1">
        <v>2008</v>
      </c>
      <c r="R116" s="1" t="s">
        <v>1746</v>
      </c>
      <c r="S116" s="1" t="s">
        <v>27</v>
      </c>
      <c r="T116" s="6">
        <v>1</v>
      </c>
      <c r="V116" s="1">
        <v>12.4</v>
      </c>
      <c r="Y116" s="1">
        <v>3.3980000000000001</v>
      </c>
      <c r="Z116" s="1">
        <v>3.3279999999999998</v>
      </c>
      <c r="AA116" s="1">
        <v>4.3310000000000004</v>
      </c>
      <c r="AF116" s="1">
        <v>3.7639999999999998</v>
      </c>
      <c r="AG116" s="1">
        <v>0.54100000000000004</v>
      </c>
      <c r="AU116" s="1" t="s">
        <v>15</v>
      </c>
      <c r="AW116" s="1">
        <v>0.24099999999999999</v>
      </c>
      <c r="AY116" s="1">
        <v>0.03</v>
      </c>
      <c r="BA116" s="1">
        <v>2.0350000000000001</v>
      </c>
      <c r="BG116" s="1">
        <v>0.65100000000000002</v>
      </c>
      <c r="BI116" s="1">
        <v>0.191</v>
      </c>
      <c r="BQ116" s="1" t="s">
        <v>15</v>
      </c>
      <c r="BZ116" s="1">
        <v>0.48799999999999999</v>
      </c>
      <c r="CI116" s="1">
        <v>2.1080000000000001</v>
      </c>
      <c r="CL116" s="1">
        <v>0.46899999999999997</v>
      </c>
      <c r="CP116" s="1">
        <v>3.6999999999999998E-2</v>
      </c>
      <c r="DK116" s="1">
        <v>7.0000000000000007E-2</v>
      </c>
      <c r="DT116" s="1" t="s">
        <v>15</v>
      </c>
      <c r="ED116" s="1">
        <v>2.4E-2</v>
      </c>
      <c r="EF116" s="1">
        <v>3.9E-2</v>
      </c>
      <c r="ET116" s="1">
        <v>0.36699999999999999</v>
      </c>
      <c r="EX116" s="1">
        <v>0.44700000000000001</v>
      </c>
      <c r="FE116" s="1">
        <v>1.2649999999999999</v>
      </c>
      <c r="FJ116" s="1">
        <v>0.34300000000000003</v>
      </c>
      <c r="FM116" s="1">
        <v>1.75</v>
      </c>
    </row>
    <row r="117" spans="1:169" x14ac:dyDescent="0.2">
      <c r="A117" s="1" t="s">
        <v>1814</v>
      </c>
      <c r="B117" s="1" t="s">
        <v>55</v>
      </c>
      <c r="C117" s="1" t="s">
        <v>236</v>
      </c>
      <c r="E117" s="1">
        <v>36</v>
      </c>
      <c r="F117" s="1" t="s">
        <v>1815</v>
      </c>
      <c r="H117" s="1" t="s">
        <v>1816</v>
      </c>
      <c r="I117" s="1" t="s">
        <v>7</v>
      </c>
      <c r="J117" s="1" t="s">
        <v>1817</v>
      </c>
      <c r="K117" s="1" t="s">
        <v>1818</v>
      </c>
      <c r="L117" s="1" t="s">
        <v>1817</v>
      </c>
      <c r="O117" s="1">
        <v>4</v>
      </c>
      <c r="P117" s="1" t="s">
        <v>1752</v>
      </c>
      <c r="Q117" s="1">
        <v>2008</v>
      </c>
      <c r="R117" s="1" t="s">
        <v>1746</v>
      </c>
      <c r="S117" s="1" t="s">
        <v>27</v>
      </c>
      <c r="T117" s="6">
        <v>1</v>
      </c>
      <c r="V117" s="1">
        <v>0.73</v>
      </c>
      <c r="Y117" s="1">
        <v>0.187</v>
      </c>
      <c r="Z117" s="1">
        <v>0.113</v>
      </c>
      <c r="AA117" s="1">
        <v>0.21099999999999999</v>
      </c>
      <c r="AF117" s="1">
        <v>0.18</v>
      </c>
      <c r="AG117" s="1">
        <v>3.1E-2</v>
      </c>
      <c r="AU117" s="1" t="s">
        <v>15</v>
      </c>
      <c r="AW117" s="1">
        <v>6.0000000000000001E-3</v>
      </c>
      <c r="AY117" s="1">
        <v>1E-3</v>
      </c>
      <c r="BA117" s="1">
        <v>0.109</v>
      </c>
      <c r="BG117" s="1">
        <v>5.2999999999999999E-2</v>
      </c>
      <c r="BI117" s="1">
        <v>3.0000000000000001E-3</v>
      </c>
      <c r="BQ117" s="1" t="s">
        <v>15</v>
      </c>
      <c r="BZ117" s="1">
        <v>0.01</v>
      </c>
      <c r="CI117" s="1">
        <v>9.4E-2</v>
      </c>
      <c r="CL117" s="1">
        <v>1E-3</v>
      </c>
      <c r="CP117" s="1" t="s">
        <v>15</v>
      </c>
      <c r="DK117" s="1">
        <v>1.2E-2</v>
      </c>
      <c r="DT117" s="1" t="s">
        <v>15</v>
      </c>
      <c r="ED117" s="1">
        <v>1E-3</v>
      </c>
      <c r="EF117" s="1">
        <v>3.0000000000000001E-3</v>
      </c>
      <c r="ET117" s="1">
        <v>4.0000000000000001E-3</v>
      </c>
      <c r="EX117" s="1">
        <v>1.7999999999999999E-2</v>
      </c>
      <c r="FE117" s="1">
        <v>3.5000000000000003E-2</v>
      </c>
      <c r="FJ117" s="1">
        <v>7.0000000000000001E-3</v>
      </c>
      <c r="FM117" s="1">
        <v>0.13100000000000001</v>
      </c>
    </row>
    <row r="118" spans="1:169" x14ac:dyDescent="0.2">
      <c r="A118" s="1" t="s">
        <v>1819</v>
      </c>
      <c r="B118" s="1" t="s">
        <v>55</v>
      </c>
      <c r="C118" s="1" t="s">
        <v>236</v>
      </c>
      <c r="E118" s="1">
        <v>34</v>
      </c>
      <c r="F118" s="1" t="s">
        <v>1820</v>
      </c>
      <c r="H118" s="1" t="s">
        <v>1821</v>
      </c>
      <c r="I118" s="1" t="s">
        <v>7</v>
      </c>
      <c r="J118" s="1" t="s">
        <v>1822</v>
      </c>
      <c r="K118" s="1" t="s">
        <v>1823</v>
      </c>
      <c r="L118" s="1" t="s">
        <v>1824</v>
      </c>
      <c r="O118" s="1">
        <v>4</v>
      </c>
      <c r="P118" s="1" t="s">
        <v>1825</v>
      </c>
      <c r="Q118" s="1">
        <v>2008</v>
      </c>
      <c r="R118" s="1" t="s">
        <v>1746</v>
      </c>
      <c r="S118" s="1" t="s">
        <v>27</v>
      </c>
      <c r="T118" s="6">
        <v>1</v>
      </c>
      <c r="V118" s="1">
        <v>0.21</v>
      </c>
      <c r="Y118" s="1">
        <v>5.1999999999999998E-2</v>
      </c>
      <c r="Z118" s="1">
        <v>3.3000000000000002E-2</v>
      </c>
      <c r="AA118" s="1">
        <v>7.0999999999999994E-2</v>
      </c>
      <c r="AF118" s="1">
        <v>6.6000000000000003E-2</v>
      </c>
      <c r="AG118" s="1">
        <v>7.0000000000000001E-3</v>
      </c>
      <c r="AU118" s="1" t="s">
        <v>15</v>
      </c>
      <c r="AW118" s="1">
        <v>8.0000000000000002E-3</v>
      </c>
      <c r="AY118" s="1" t="s">
        <v>15</v>
      </c>
      <c r="BA118" s="1">
        <v>3.2000000000000001E-2</v>
      </c>
      <c r="BG118" s="1">
        <v>1.2E-2</v>
      </c>
      <c r="BI118" s="1" t="s">
        <v>15</v>
      </c>
      <c r="BQ118" s="1" t="s">
        <v>15</v>
      </c>
      <c r="BZ118" s="1">
        <v>6.0000000000000001E-3</v>
      </c>
      <c r="CI118" s="1">
        <v>1.7999999999999999E-2</v>
      </c>
      <c r="CL118" s="1">
        <v>2E-3</v>
      </c>
      <c r="CP118" s="1">
        <v>1E-3</v>
      </c>
      <c r="DK118" s="1">
        <v>1E-3</v>
      </c>
      <c r="DT118" s="1" t="s">
        <v>15</v>
      </c>
      <c r="ED118" s="1" t="s">
        <v>15</v>
      </c>
      <c r="EF118" s="1" t="s">
        <v>15</v>
      </c>
      <c r="ET118" s="1">
        <v>1E-3</v>
      </c>
      <c r="EX118" s="1">
        <v>6.0000000000000001E-3</v>
      </c>
      <c r="FE118" s="1">
        <v>2.5999999999999999E-2</v>
      </c>
      <c r="FJ118" s="1">
        <v>2E-3</v>
      </c>
      <c r="FM118" s="1">
        <v>3.6999999999999998E-2</v>
      </c>
    </row>
    <row r="119" spans="1:169" x14ac:dyDescent="0.2">
      <c r="A119" s="1" t="s">
        <v>1826</v>
      </c>
      <c r="B119" s="1" t="s">
        <v>55</v>
      </c>
      <c r="C119" s="1" t="s">
        <v>236</v>
      </c>
      <c r="E119" s="1">
        <v>38</v>
      </c>
      <c r="F119" s="1" t="s">
        <v>1827</v>
      </c>
      <c r="H119" s="1" t="s">
        <v>1828</v>
      </c>
      <c r="I119" s="1" t="s">
        <v>7</v>
      </c>
      <c r="J119" s="1" t="s">
        <v>1829</v>
      </c>
      <c r="K119" s="1" t="s">
        <v>1830</v>
      </c>
      <c r="L119" s="1" t="s">
        <v>1831</v>
      </c>
      <c r="O119" s="1">
        <v>4</v>
      </c>
      <c r="P119" s="1" t="s">
        <v>1832</v>
      </c>
      <c r="Q119" s="1">
        <v>2008</v>
      </c>
      <c r="R119" s="1" t="s">
        <v>1746</v>
      </c>
      <c r="S119" s="1" t="s">
        <v>27</v>
      </c>
      <c r="T119" s="6">
        <v>1</v>
      </c>
      <c r="V119" s="1">
        <v>0.55000000000000004</v>
      </c>
      <c r="Y119" s="1">
        <v>9.2999999999999999E-2</v>
      </c>
      <c r="Z119" s="1">
        <v>7.0000000000000007E-2</v>
      </c>
      <c r="AA119" s="1">
        <v>0.219</v>
      </c>
      <c r="AF119" s="1">
        <v>0.19500000000000001</v>
      </c>
      <c r="AG119" s="1">
        <v>2.4E-2</v>
      </c>
      <c r="AU119" s="1" t="s">
        <v>15</v>
      </c>
      <c r="AW119" s="1" t="s">
        <v>15</v>
      </c>
      <c r="AY119" s="1" t="s">
        <v>15</v>
      </c>
      <c r="BA119" s="1">
        <v>7.0999999999999994E-2</v>
      </c>
      <c r="BG119" s="1">
        <v>0.02</v>
      </c>
      <c r="BI119" s="1" t="s">
        <v>15</v>
      </c>
      <c r="BQ119" s="1" t="s">
        <v>15</v>
      </c>
      <c r="BZ119" s="1">
        <v>5.0000000000000001E-3</v>
      </c>
      <c r="CI119" s="1">
        <v>4.2000000000000003E-2</v>
      </c>
      <c r="CL119" s="1">
        <v>1E-3</v>
      </c>
      <c r="CP119" s="1" t="s">
        <v>15</v>
      </c>
      <c r="DK119" s="1">
        <v>2E-3</v>
      </c>
      <c r="DT119" s="1" t="s">
        <v>15</v>
      </c>
      <c r="ED119" s="1" t="s">
        <v>15</v>
      </c>
      <c r="EF119" s="1" t="s">
        <v>15</v>
      </c>
      <c r="ET119" s="1">
        <v>1E-3</v>
      </c>
      <c r="EX119" s="1">
        <v>2.1999999999999999E-2</v>
      </c>
      <c r="FE119" s="1">
        <v>0.113</v>
      </c>
      <c r="FJ119" s="1">
        <v>1.4999999999999999E-2</v>
      </c>
      <c r="FM119" s="1">
        <v>6.6000000000000003E-2</v>
      </c>
    </row>
    <row r="120" spans="1:169" x14ac:dyDescent="0.2">
      <c r="A120" s="1" t="s">
        <v>1833</v>
      </c>
      <c r="B120" s="1" t="s">
        <v>55</v>
      </c>
      <c r="C120" s="1" t="s">
        <v>236</v>
      </c>
      <c r="E120" s="1">
        <v>31</v>
      </c>
      <c r="F120" s="1" t="s">
        <v>1834</v>
      </c>
      <c r="H120" s="1" t="s">
        <v>1835</v>
      </c>
      <c r="I120" s="1" t="s">
        <v>7</v>
      </c>
      <c r="J120" s="1" t="s">
        <v>1836</v>
      </c>
      <c r="K120" s="1" t="s">
        <v>1837</v>
      </c>
      <c r="L120" s="1" t="s">
        <v>1838</v>
      </c>
      <c r="O120" s="1">
        <v>4</v>
      </c>
      <c r="P120" s="1" t="s">
        <v>1839</v>
      </c>
      <c r="Q120" s="1">
        <v>2008</v>
      </c>
      <c r="R120" s="1" t="s">
        <v>1746</v>
      </c>
      <c r="S120" s="1" t="s">
        <v>27</v>
      </c>
      <c r="T120" s="6">
        <v>1</v>
      </c>
      <c r="V120" s="1">
        <v>0.72</v>
      </c>
      <c r="Y120" s="1">
        <v>0.17399999999999999</v>
      </c>
      <c r="Z120" s="1">
        <v>0.12</v>
      </c>
      <c r="AA120" s="1">
        <v>0.28100000000000003</v>
      </c>
      <c r="AF120" s="1">
        <v>0.251</v>
      </c>
      <c r="AG120" s="1">
        <v>3.1E-2</v>
      </c>
      <c r="AU120" s="1" t="s">
        <v>15</v>
      </c>
      <c r="AW120" s="1">
        <v>1.4E-2</v>
      </c>
      <c r="AY120" s="1">
        <v>1E-3</v>
      </c>
      <c r="BA120" s="1">
        <v>0.11899999999999999</v>
      </c>
      <c r="BG120" s="1">
        <v>2.7E-2</v>
      </c>
      <c r="BI120" s="1">
        <v>5.0000000000000001E-3</v>
      </c>
      <c r="BQ120" s="1" t="s">
        <v>15</v>
      </c>
      <c r="BZ120" s="1">
        <v>2.5000000000000001E-2</v>
      </c>
      <c r="CI120" s="1">
        <v>8.3000000000000004E-2</v>
      </c>
      <c r="CL120" s="1" t="s">
        <v>15</v>
      </c>
      <c r="CP120" s="1">
        <v>1E-3</v>
      </c>
      <c r="DK120" s="1">
        <v>3.0000000000000001E-3</v>
      </c>
      <c r="DT120" s="1" t="s">
        <v>15</v>
      </c>
      <c r="ED120" s="1" t="s">
        <v>15</v>
      </c>
      <c r="EF120" s="1">
        <v>1E-3</v>
      </c>
      <c r="ET120" s="1">
        <v>1.2999999999999999E-2</v>
      </c>
      <c r="EX120" s="1">
        <v>2.8000000000000001E-2</v>
      </c>
      <c r="FE120" s="1">
        <v>8.4000000000000005E-2</v>
      </c>
      <c r="FJ120" s="1">
        <v>2.1999999999999999E-2</v>
      </c>
      <c r="FM120" s="1">
        <v>0.13100000000000001</v>
      </c>
    </row>
    <row r="121" spans="1:169" x14ac:dyDescent="0.2">
      <c r="A121" s="1" t="s">
        <v>1840</v>
      </c>
      <c r="B121" s="1" t="s">
        <v>55</v>
      </c>
      <c r="C121" s="1" t="s">
        <v>236</v>
      </c>
      <c r="E121" s="1">
        <v>33</v>
      </c>
      <c r="F121" s="1" t="s">
        <v>1841</v>
      </c>
      <c r="H121" s="1" t="s">
        <v>1842</v>
      </c>
      <c r="I121" s="1" t="s">
        <v>7</v>
      </c>
      <c r="J121" s="1" t="s">
        <v>1843</v>
      </c>
      <c r="K121" s="1" t="s">
        <v>1844</v>
      </c>
      <c r="L121" s="1" t="s">
        <v>1845</v>
      </c>
      <c r="O121" s="1">
        <v>2</v>
      </c>
      <c r="P121" s="1" t="s">
        <v>1846</v>
      </c>
      <c r="Q121" s="1">
        <v>2008</v>
      </c>
      <c r="R121" s="1" t="s">
        <v>1746</v>
      </c>
      <c r="S121" s="1" t="s">
        <v>27</v>
      </c>
      <c r="T121" s="6">
        <v>1</v>
      </c>
      <c r="V121" s="1">
        <v>3.75</v>
      </c>
      <c r="Y121" s="1">
        <v>0.90800000000000003</v>
      </c>
      <c r="Z121" s="1">
        <v>0.80100000000000005</v>
      </c>
      <c r="AA121" s="1">
        <v>1.2949999999999999</v>
      </c>
      <c r="AF121" s="1">
        <v>1.1479999999999999</v>
      </c>
      <c r="AG121" s="1">
        <v>0.14799999999999999</v>
      </c>
      <c r="AU121" s="1" t="s">
        <v>15</v>
      </c>
      <c r="AW121" s="1">
        <v>5.3999999999999999E-2</v>
      </c>
      <c r="AY121" s="1">
        <v>5.0000000000000001E-3</v>
      </c>
      <c r="BA121" s="1">
        <v>0.67300000000000004</v>
      </c>
      <c r="BG121" s="1">
        <v>0.151</v>
      </c>
      <c r="BI121" s="1">
        <v>0.01</v>
      </c>
      <c r="BQ121" s="1">
        <v>3.0000000000000001E-3</v>
      </c>
      <c r="BZ121" s="1">
        <v>0.17299999999999999</v>
      </c>
      <c r="CI121" s="1">
        <v>0.59199999999999997</v>
      </c>
      <c r="CL121" s="1" t="s">
        <v>15</v>
      </c>
      <c r="CP121" s="1" t="s">
        <v>15</v>
      </c>
      <c r="DK121" s="1">
        <v>1.9E-2</v>
      </c>
      <c r="DT121" s="1" t="s">
        <v>15</v>
      </c>
      <c r="ED121" s="1">
        <v>2E-3</v>
      </c>
      <c r="EF121" s="1">
        <v>4.0000000000000001E-3</v>
      </c>
      <c r="ET121" s="1">
        <v>0.05</v>
      </c>
      <c r="EX121" s="1">
        <v>0.127</v>
      </c>
      <c r="FE121" s="1">
        <v>0.34799999999999998</v>
      </c>
      <c r="FJ121" s="1">
        <v>7.6999999999999999E-2</v>
      </c>
      <c r="FM121" s="1">
        <v>0.66900000000000004</v>
      </c>
    </row>
    <row r="122" spans="1:169" x14ac:dyDescent="0.2">
      <c r="A122" s="1" t="s">
        <v>1847</v>
      </c>
      <c r="B122" s="1" t="s">
        <v>55</v>
      </c>
      <c r="C122" s="1" t="s">
        <v>236</v>
      </c>
      <c r="E122" s="1">
        <v>34</v>
      </c>
      <c r="F122" s="1" t="s">
        <v>1848</v>
      </c>
      <c r="H122" s="1" t="s">
        <v>1849</v>
      </c>
      <c r="I122" s="1" t="s">
        <v>7</v>
      </c>
      <c r="J122" s="1" t="s">
        <v>1850</v>
      </c>
      <c r="K122" s="1" t="s">
        <v>1851</v>
      </c>
      <c r="L122" s="1" t="s">
        <v>1852</v>
      </c>
      <c r="O122" s="1">
        <v>3</v>
      </c>
      <c r="P122" s="1" t="s">
        <v>1853</v>
      </c>
      <c r="Q122" s="1">
        <v>2008</v>
      </c>
      <c r="R122" s="1" t="s">
        <v>1746</v>
      </c>
      <c r="S122" s="1" t="s">
        <v>27</v>
      </c>
      <c r="T122" s="6">
        <v>1</v>
      </c>
      <c r="V122" s="1">
        <v>0.73</v>
      </c>
      <c r="Y122" s="1">
        <v>0.33600000000000002</v>
      </c>
      <c r="Z122" s="1">
        <v>0.12</v>
      </c>
      <c r="AA122" s="1">
        <v>5.3999999999999999E-2</v>
      </c>
      <c r="AF122" s="1">
        <v>4.5999999999999999E-2</v>
      </c>
      <c r="AG122" s="1">
        <v>0.01</v>
      </c>
      <c r="AU122" s="1" t="s">
        <v>15</v>
      </c>
      <c r="AW122" s="1">
        <v>2.5999999999999999E-2</v>
      </c>
      <c r="AY122" s="1" t="s">
        <v>15</v>
      </c>
      <c r="BA122" s="1">
        <v>0.19400000000000001</v>
      </c>
      <c r="BG122" s="1">
        <v>6.8000000000000005E-2</v>
      </c>
      <c r="BI122" s="1">
        <v>4.9000000000000002E-2</v>
      </c>
      <c r="BQ122" s="1" t="s">
        <v>15</v>
      </c>
      <c r="BZ122" s="1" t="s">
        <v>15</v>
      </c>
      <c r="CI122" s="1">
        <v>6.6000000000000003E-2</v>
      </c>
      <c r="CL122" s="1" t="s">
        <v>15</v>
      </c>
      <c r="CP122" s="1">
        <v>5.2999999999999999E-2</v>
      </c>
      <c r="DK122" s="1">
        <v>0.01</v>
      </c>
      <c r="DT122" s="1" t="s">
        <v>15</v>
      </c>
      <c r="ED122" s="1" t="s">
        <v>15</v>
      </c>
      <c r="EF122" s="1" t="s">
        <v>15</v>
      </c>
      <c r="ET122" s="1" t="s">
        <v>15</v>
      </c>
      <c r="EX122" s="1" t="s">
        <v>15</v>
      </c>
      <c r="FE122" s="1">
        <v>4.2999999999999997E-2</v>
      </c>
      <c r="FJ122" s="1" t="s">
        <v>15</v>
      </c>
      <c r="FM122" s="1">
        <v>3.0000000000000001E-3</v>
      </c>
    </row>
    <row r="123" spans="1:169" x14ac:dyDescent="0.2">
      <c r="A123" s="1" t="s">
        <v>1854</v>
      </c>
      <c r="B123" s="1" t="s">
        <v>55</v>
      </c>
      <c r="C123" s="1" t="s">
        <v>236</v>
      </c>
      <c r="E123" s="1">
        <v>31</v>
      </c>
      <c r="F123" s="1" t="s">
        <v>1834</v>
      </c>
      <c r="H123" s="1" t="s">
        <v>1855</v>
      </c>
      <c r="I123" s="1" t="s">
        <v>7</v>
      </c>
      <c r="J123" s="1" t="s">
        <v>1856</v>
      </c>
      <c r="K123" s="1" t="s">
        <v>1837</v>
      </c>
      <c r="L123" s="1" t="s">
        <v>1838</v>
      </c>
      <c r="O123" s="1">
        <v>1</v>
      </c>
      <c r="P123" s="1" t="s">
        <v>1857</v>
      </c>
      <c r="Q123" s="1">
        <v>2008</v>
      </c>
      <c r="R123" s="1" t="s">
        <v>1746</v>
      </c>
      <c r="S123" s="1" t="s">
        <v>27</v>
      </c>
      <c r="T123" s="6">
        <v>1</v>
      </c>
      <c r="V123" s="1">
        <v>11.7</v>
      </c>
      <c r="Y123" s="1">
        <v>3.0409999999999999</v>
      </c>
      <c r="Z123" s="1">
        <v>3.069</v>
      </c>
      <c r="AA123" s="1">
        <v>4.1859999999999999</v>
      </c>
      <c r="AF123" s="1">
        <v>3.9590000000000001</v>
      </c>
      <c r="AG123" s="1">
        <v>0.191</v>
      </c>
      <c r="AU123" s="1" t="s">
        <v>15</v>
      </c>
      <c r="AW123" s="1">
        <v>0.36599999999999999</v>
      </c>
      <c r="AY123" s="1" t="s">
        <v>15</v>
      </c>
      <c r="BA123" s="1">
        <v>1.8320000000000001</v>
      </c>
      <c r="BG123" s="1">
        <v>0.29499999999999998</v>
      </c>
      <c r="BI123" s="1">
        <v>0.14299999999999999</v>
      </c>
      <c r="BQ123" s="1" t="s">
        <v>15</v>
      </c>
      <c r="BZ123" s="1">
        <v>0.80800000000000005</v>
      </c>
      <c r="CI123" s="1">
        <v>1.544</v>
      </c>
      <c r="CL123" s="1">
        <v>0.32900000000000001</v>
      </c>
      <c r="CP123" s="1">
        <v>0.109</v>
      </c>
      <c r="DK123" s="1">
        <v>7.4999999999999997E-2</v>
      </c>
      <c r="DT123" s="1" t="s">
        <v>15</v>
      </c>
      <c r="ED123" s="1" t="s">
        <v>15</v>
      </c>
      <c r="EF123" s="1">
        <v>8.9999999999999993E-3</v>
      </c>
      <c r="ET123" s="1">
        <v>1.296</v>
      </c>
      <c r="EX123" s="1">
        <v>0.11600000000000001</v>
      </c>
      <c r="FE123" s="1">
        <v>0.96899999999999997</v>
      </c>
      <c r="FJ123" s="1">
        <v>0.28499999999999998</v>
      </c>
      <c r="FM123" s="1">
        <v>1.4</v>
      </c>
    </row>
    <row r="124" spans="1:169" x14ac:dyDescent="0.2">
      <c r="A124" s="1" t="s">
        <v>1858</v>
      </c>
      <c r="B124" s="1" t="s">
        <v>55</v>
      </c>
      <c r="C124" s="1" t="s">
        <v>236</v>
      </c>
      <c r="E124" s="1">
        <v>32</v>
      </c>
      <c r="F124" s="1" t="s">
        <v>1859</v>
      </c>
      <c r="H124" s="1" t="s">
        <v>1860</v>
      </c>
      <c r="I124" s="1" t="s">
        <v>7</v>
      </c>
      <c r="J124" s="1" t="s">
        <v>1861</v>
      </c>
      <c r="K124" s="1" t="s">
        <v>1862</v>
      </c>
      <c r="L124" s="1" t="s">
        <v>1863</v>
      </c>
      <c r="O124" s="1">
        <v>4</v>
      </c>
      <c r="P124" s="1" t="s">
        <v>1864</v>
      </c>
      <c r="Q124" s="1">
        <v>2008</v>
      </c>
      <c r="R124" s="1" t="s">
        <v>1746</v>
      </c>
      <c r="S124" s="1" t="s">
        <v>27</v>
      </c>
      <c r="T124" s="6">
        <v>1</v>
      </c>
      <c r="V124" s="1">
        <v>0.33</v>
      </c>
      <c r="Y124" s="1">
        <v>6.5000000000000002E-2</v>
      </c>
      <c r="Z124" s="1">
        <v>4.4999999999999998E-2</v>
      </c>
      <c r="AA124" s="1">
        <v>0.11700000000000001</v>
      </c>
      <c r="AF124" s="1">
        <v>0.113</v>
      </c>
      <c r="AG124" s="1">
        <v>5.0000000000000001E-3</v>
      </c>
      <c r="AU124" s="1" t="s">
        <v>15</v>
      </c>
      <c r="AW124" s="1" t="s">
        <v>15</v>
      </c>
      <c r="AY124" s="1" t="s">
        <v>15</v>
      </c>
      <c r="BA124" s="1">
        <v>4.7E-2</v>
      </c>
      <c r="BG124" s="1">
        <v>1.6E-2</v>
      </c>
      <c r="BI124" s="1">
        <v>1E-3</v>
      </c>
      <c r="BQ124" s="1" t="s">
        <v>15</v>
      </c>
      <c r="BZ124" s="1">
        <v>4.0000000000000001E-3</v>
      </c>
      <c r="CI124" s="1">
        <v>2.1999999999999999E-2</v>
      </c>
      <c r="CL124" s="1">
        <v>3.0000000000000001E-3</v>
      </c>
      <c r="CP124" s="1">
        <v>1E-3</v>
      </c>
      <c r="DK124" s="1">
        <v>2E-3</v>
      </c>
      <c r="DT124" s="1" t="s">
        <v>15</v>
      </c>
      <c r="ED124" s="1" t="s">
        <v>15</v>
      </c>
      <c r="EF124" s="1" t="s">
        <v>15</v>
      </c>
      <c r="ET124" s="1">
        <v>2E-3</v>
      </c>
      <c r="EX124" s="1">
        <v>3.0000000000000001E-3</v>
      </c>
      <c r="FE124" s="1">
        <v>4.4999999999999998E-2</v>
      </c>
      <c r="FJ124" s="1">
        <v>1E-3</v>
      </c>
      <c r="FM124" s="1">
        <v>6.5000000000000002E-2</v>
      </c>
    </row>
    <row r="125" spans="1:169" x14ac:dyDescent="0.2">
      <c r="A125" s="1" t="s">
        <v>1865</v>
      </c>
      <c r="B125" s="1" t="s">
        <v>55</v>
      </c>
      <c r="C125" s="1" t="s">
        <v>236</v>
      </c>
      <c r="E125" s="1">
        <v>31</v>
      </c>
      <c r="F125" s="1" t="s">
        <v>1834</v>
      </c>
      <c r="H125" s="1" t="s">
        <v>1866</v>
      </c>
      <c r="I125" s="1" t="s">
        <v>7</v>
      </c>
      <c r="J125" s="1" t="s">
        <v>1867</v>
      </c>
      <c r="K125" s="1" t="s">
        <v>1837</v>
      </c>
      <c r="L125" s="1" t="s">
        <v>1838</v>
      </c>
      <c r="O125" s="1">
        <v>4</v>
      </c>
      <c r="P125" s="1" t="s">
        <v>1868</v>
      </c>
      <c r="Q125" s="1">
        <v>2008</v>
      </c>
      <c r="R125" s="1" t="s">
        <v>1746</v>
      </c>
      <c r="S125" s="1" t="s">
        <v>27</v>
      </c>
      <c r="T125" s="6">
        <v>1</v>
      </c>
      <c r="V125" s="1">
        <v>0.37</v>
      </c>
      <c r="Y125" s="1">
        <v>9.7000000000000003E-2</v>
      </c>
      <c r="Z125" s="1">
        <v>5.2999999999999999E-2</v>
      </c>
      <c r="AA125" s="1">
        <v>0.111</v>
      </c>
      <c r="AF125" s="1">
        <v>9.6000000000000002E-2</v>
      </c>
      <c r="AG125" s="1">
        <v>1.4999999999999999E-2</v>
      </c>
      <c r="AU125" s="1" t="s">
        <v>15</v>
      </c>
      <c r="AW125" s="1">
        <v>0.01</v>
      </c>
      <c r="AY125" s="1" t="s">
        <v>15</v>
      </c>
      <c r="BA125" s="1">
        <v>0.06</v>
      </c>
      <c r="BG125" s="1">
        <v>1.2E-2</v>
      </c>
      <c r="BI125" s="1">
        <v>4.0000000000000001E-3</v>
      </c>
      <c r="BQ125" s="1" t="s">
        <v>15</v>
      </c>
      <c r="BZ125" s="1">
        <v>0.02</v>
      </c>
      <c r="CI125" s="1">
        <v>2.1999999999999999E-2</v>
      </c>
      <c r="CL125" s="1">
        <v>8.9999999999999993E-3</v>
      </c>
      <c r="CP125" s="1" t="s">
        <v>15</v>
      </c>
      <c r="DK125" s="1">
        <v>1E-3</v>
      </c>
      <c r="DT125" s="1" t="s">
        <v>15</v>
      </c>
      <c r="ED125" s="1" t="s">
        <v>15</v>
      </c>
      <c r="EF125" s="1">
        <v>1E-3</v>
      </c>
      <c r="ET125" s="1">
        <v>2E-3</v>
      </c>
      <c r="EX125" s="1">
        <v>1.4E-2</v>
      </c>
      <c r="FE125" s="1">
        <v>4.5999999999999999E-2</v>
      </c>
      <c r="FJ125" s="1">
        <v>6.0000000000000001E-3</v>
      </c>
      <c r="FM125" s="1">
        <v>4.1000000000000002E-2</v>
      </c>
    </row>
    <row r="126" spans="1:169" x14ac:dyDescent="0.2">
      <c r="A126" s="1" t="s">
        <v>1869</v>
      </c>
      <c r="B126" s="1" t="s">
        <v>55</v>
      </c>
      <c r="C126" s="1" t="s">
        <v>236</v>
      </c>
      <c r="E126" s="1">
        <v>32</v>
      </c>
      <c r="F126" s="1" t="s">
        <v>1870</v>
      </c>
      <c r="H126" s="1" t="s">
        <v>1871</v>
      </c>
      <c r="I126" s="1" t="s">
        <v>7</v>
      </c>
      <c r="J126" s="1" t="s">
        <v>1872</v>
      </c>
      <c r="K126" s="1" t="s">
        <v>1873</v>
      </c>
      <c r="L126" s="1" t="s">
        <v>1874</v>
      </c>
      <c r="O126" s="1">
        <v>1</v>
      </c>
      <c r="P126" s="1" t="s">
        <v>1875</v>
      </c>
      <c r="Q126" s="1">
        <v>2008</v>
      </c>
      <c r="R126" s="1" t="s">
        <v>1746</v>
      </c>
      <c r="S126" s="1" t="s">
        <v>27</v>
      </c>
      <c r="T126" s="6">
        <v>1</v>
      </c>
      <c r="V126" s="1">
        <v>0.28999999999999998</v>
      </c>
      <c r="Y126" s="1">
        <v>8.8999999999999996E-2</v>
      </c>
      <c r="Z126" s="1">
        <v>0.02</v>
      </c>
      <c r="AA126" s="1">
        <v>9.0999999999999998E-2</v>
      </c>
      <c r="AF126" s="1">
        <v>7.6999999999999999E-2</v>
      </c>
      <c r="AG126" s="1">
        <v>1.4E-2</v>
      </c>
      <c r="AU126" s="1" t="s">
        <v>15</v>
      </c>
      <c r="AW126" s="1">
        <v>4.0000000000000001E-3</v>
      </c>
      <c r="AY126" s="1">
        <v>1E-3</v>
      </c>
      <c r="BA126" s="1">
        <v>4.2999999999999997E-2</v>
      </c>
      <c r="BG126" s="1">
        <v>0.02</v>
      </c>
      <c r="BI126" s="1">
        <v>1E-3</v>
      </c>
      <c r="BQ126" s="1" t="s">
        <v>15</v>
      </c>
      <c r="BZ126" s="1">
        <v>6.0000000000000001E-3</v>
      </c>
      <c r="CI126" s="1">
        <v>6.0000000000000001E-3</v>
      </c>
      <c r="CL126" s="1" t="s">
        <v>15</v>
      </c>
      <c r="CP126" s="1">
        <v>1E-3</v>
      </c>
      <c r="DK126" s="1">
        <v>1E-3</v>
      </c>
      <c r="DT126" s="1" t="s">
        <v>15</v>
      </c>
      <c r="ED126" s="1" t="s">
        <v>15</v>
      </c>
      <c r="EF126" s="1">
        <v>1E-3</v>
      </c>
      <c r="ET126" s="1">
        <v>4.0000000000000001E-3</v>
      </c>
      <c r="EX126" s="1">
        <v>1.2999999999999999E-2</v>
      </c>
      <c r="FE126" s="1">
        <v>3.5999999999999997E-2</v>
      </c>
      <c r="FJ126" s="1">
        <v>6.0000000000000001E-3</v>
      </c>
      <c r="FM126" s="1">
        <v>0.03</v>
      </c>
    </row>
    <row r="127" spans="1:169" x14ac:dyDescent="0.2">
      <c r="A127" s="1" t="s">
        <v>1876</v>
      </c>
      <c r="B127" s="1" t="s">
        <v>55</v>
      </c>
      <c r="C127" s="1" t="s">
        <v>236</v>
      </c>
      <c r="E127" s="1">
        <v>38</v>
      </c>
      <c r="F127" s="1" t="s">
        <v>1877</v>
      </c>
      <c r="H127" s="1" t="s">
        <v>1878</v>
      </c>
      <c r="I127" s="1" t="s">
        <v>7</v>
      </c>
      <c r="J127" s="1" t="s">
        <v>1879</v>
      </c>
      <c r="K127" s="1" t="s">
        <v>1880</v>
      </c>
      <c r="L127" s="1" t="s">
        <v>1881</v>
      </c>
      <c r="O127" s="1">
        <v>4</v>
      </c>
      <c r="P127" s="1" t="s">
        <v>1882</v>
      </c>
      <c r="Q127" s="1">
        <v>2008</v>
      </c>
      <c r="R127" s="1" t="s">
        <v>1746</v>
      </c>
      <c r="S127" s="1" t="s">
        <v>27</v>
      </c>
      <c r="T127" s="6">
        <v>1</v>
      </c>
      <c r="V127" s="1">
        <v>0.61</v>
      </c>
      <c r="Y127" s="1">
        <v>0.129</v>
      </c>
      <c r="Z127" s="1">
        <v>7.6999999999999999E-2</v>
      </c>
      <c r="AA127" s="1">
        <v>0.216</v>
      </c>
      <c r="AF127" s="1">
        <v>0.19500000000000001</v>
      </c>
      <c r="AG127" s="1">
        <v>2.3E-2</v>
      </c>
      <c r="AU127" s="1" t="s">
        <v>15</v>
      </c>
      <c r="AW127" s="1" t="s">
        <v>15</v>
      </c>
      <c r="AY127" s="1" t="s">
        <v>15</v>
      </c>
      <c r="BA127" s="1">
        <v>0.105</v>
      </c>
      <c r="BG127" s="1">
        <v>0.02</v>
      </c>
      <c r="BI127" s="1" t="s">
        <v>15</v>
      </c>
      <c r="BQ127" s="1" t="s">
        <v>15</v>
      </c>
      <c r="BZ127" s="1">
        <v>2E-3</v>
      </c>
      <c r="CI127" s="1">
        <v>7.0999999999999994E-2</v>
      </c>
      <c r="CL127" s="1" t="s">
        <v>15</v>
      </c>
      <c r="CP127" s="1">
        <v>1E-3</v>
      </c>
      <c r="DK127" s="1" t="s">
        <v>15</v>
      </c>
      <c r="DT127" s="1" t="s">
        <v>15</v>
      </c>
      <c r="ED127" s="1" t="s">
        <v>15</v>
      </c>
      <c r="EF127" s="1" t="s">
        <v>15</v>
      </c>
      <c r="ET127" s="1">
        <v>7.0000000000000001E-3</v>
      </c>
      <c r="EX127" s="1">
        <v>2.3E-2</v>
      </c>
      <c r="FE127" s="1">
        <v>1.7000000000000001E-2</v>
      </c>
      <c r="FJ127" s="1">
        <v>1.4999999999999999E-2</v>
      </c>
      <c r="FM127" s="1">
        <v>0.156</v>
      </c>
    </row>
    <row r="128" spans="1:169" x14ac:dyDescent="0.2">
      <c r="A128" s="1" t="s">
        <v>1883</v>
      </c>
      <c r="B128" s="1" t="s">
        <v>55</v>
      </c>
      <c r="C128" s="1" t="s">
        <v>236</v>
      </c>
      <c r="E128" s="1">
        <v>34</v>
      </c>
      <c r="F128" s="1" t="s">
        <v>1884</v>
      </c>
      <c r="H128" s="1" t="s">
        <v>1885</v>
      </c>
      <c r="I128" s="1" t="s">
        <v>7</v>
      </c>
      <c r="J128" s="1" t="s">
        <v>1886</v>
      </c>
      <c r="K128" s="1" t="s">
        <v>1887</v>
      </c>
      <c r="L128" s="1" t="s">
        <v>1888</v>
      </c>
      <c r="O128" s="1">
        <v>1</v>
      </c>
      <c r="P128" s="1" t="s">
        <v>1889</v>
      </c>
      <c r="Q128" s="1">
        <v>2008</v>
      </c>
      <c r="R128" s="1" t="s">
        <v>1746</v>
      </c>
      <c r="S128" s="1" t="s">
        <v>27</v>
      </c>
      <c r="T128" s="6">
        <v>1</v>
      </c>
      <c r="V128" s="1">
        <v>2.27</v>
      </c>
      <c r="Y128" s="1">
        <v>0.46400000000000002</v>
      </c>
      <c r="Z128" s="1">
        <v>0.39900000000000002</v>
      </c>
      <c r="AA128" s="1">
        <v>0.94899999999999995</v>
      </c>
      <c r="AF128" s="1">
        <v>0.89</v>
      </c>
      <c r="AG128" s="1">
        <v>5.8000000000000003E-2</v>
      </c>
      <c r="AU128" s="1" t="s">
        <v>15</v>
      </c>
      <c r="AW128" s="1">
        <v>5.1999999999999998E-2</v>
      </c>
      <c r="AY128" s="1" t="s">
        <v>15</v>
      </c>
      <c r="BA128" s="1">
        <v>0.34200000000000003</v>
      </c>
      <c r="BG128" s="1">
        <v>5.0999999999999997E-2</v>
      </c>
      <c r="BI128" s="1">
        <v>1.6E-2</v>
      </c>
      <c r="BQ128" s="1" t="s">
        <v>15</v>
      </c>
      <c r="BZ128" s="1">
        <v>7.1999999999999995E-2</v>
      </c>
      <c r="CI128" s="1">
        <v>0.26500000000000001</v>
      </c>
      <c r="CL128" s="1" t="s">
        <v>15</v>
      </c>
      <c r="CP128" s="1">
        <v>2.5000000000000001E-2</v>
      </c>
      <c r="DK128" s="1">
        <v>1.2999999999999999E-2</v>
      </c>
      <c r="DT128" s="1" t="s">
        <v>15</v>
      </c>
      <c r="ED128" s="1" t="s">
        <v>15</v>
      </c>
      <c r="EF128" s="1" t="s">
        <v>15</v>
      </c>
      <c r="ET128" s="1">
        <v>0.20499999999999999</v>
      </c>
      <c r="EX128" s="1">
        <v>4.4999999999999998E-2</v>
      </c>
      <c r="FE128" s="1">
        <v>0.121</v>
      </c>
      <c r="FJ128" s="1">
        <v>5.7000000000000002E-2</v>
      </c>
      <c r="FM128" s="1">
        <v>0.50700000000000001</v>
      </c>
    </row>
    <row r="129" spans="1:169" x14ac:dyDescent="0.2">
      <c r="A129" s="1" t="s">
        <v>1890</v>
      </c>
      <c r="B129" s="1" t="s">
        <v>55</v>
      </c>
      <c r="C129" s="1" t="s">
        <v>236</v>
      </c>
      <c r="E129" s="1">
        <v>33</v>
      </c>
      <c r="F129" s="1" t="s">
        <v>1891</v>
      </c>
      <c r="H129" s="1" t="s">
        <v>1892</v>
      </c>
      <c r="I129" s="1" t="s">
        <v>7</v>
      </c>
      <c r="J129" s="1" t="s">
        <v>1893</v>
      </c>
      <c r="K129" s="1" t="s">
        <v>1894</v>
      </c>
      <c r="L129" s="1" t="s">
        <v>1895</v>
      </c>
      <c r="O129" s="1">
        <v>4</v>
      </c>
      <c r="P129" s="1" t="s">
        <v>1896</v>
      </c>
      <c r="Q129" s="1">
        <v>2008</v>
      </c>
      <c r="R129" s="1" t="s">
        <v>1746</v>
      </c>
      <c r="S129" s="1" t="s">
        <v>27</v>
      </c>
      <c r="T129" s="6">
        <v>1</v>
      </c>
      <c r="V129" s="1">
        <v>4.8899999999999997</v>
      </c>
      <c r="Y129" s="1">
        <v>1.3080000000000001</v>
      </c>
      <c r="Z129" s="1">
        <v>1.2330000000000001</v>
      </c>
      <c r="AA129" s="1">
        <v>1.859</v>
      </c>
      <c r="AF129" s="1">
        <v>1.5069999999999999</v>
      </c>
      <c r="AG129" s="1">
        <v>0.35</v>
      </c>
      <c r="AU129" s="1" t="s">
        <v>15</v>
      </c>
      <c r="AW129" s="1">
        <v>9.2999999999999999E-2</v>
      </c>
      <c r="AY129" s="1" t="s">
        <v>15</v>
      </c>
      <c r="BA129" s="1">
        <v>0.88700000000000001</v>
      </c>
      <c r="BG129" s="1">
        <v>0.23400000000000001</v>
      </c>
      <c r="BI129" s="1">
        <v>2.8000000000000001E-2</v>
      </c>
      <c r="BQ129" s="1" t="s">
        <v>15</v>
      </c>
      <c r="BZ129" s="1">
        <v>0.249</v>
      </c>
      <c r="CI129" s="1">
        <v>0.60499999999999998</v>
      </c>
      <c r="CL129" s="1">
        <v>3.6999999999999998E-2</v>
      </c>
      <c r="CP129" s="1">
        <v>0.28699999999999998</v>
      </c>
      <c r="DK129" s="1">
        <v>0.19500000000000001</v>
      </c>
      <c r="DT129" s="1" t="s">
        <v>15</v>
      </c>
      <c r="ED129" s="1">
        <v>6.0000000000000001E-3</v>
      </c>
      <c r="EF129" s="1">
        <v>2.7E-2</v>
      </c>
      <c r="ET129" s="1">
        <v>7.0000000000000007E-2</v>
      </c>
      <c r="EX129" s="1">
        <v>0.14899999999999999</v>
      </c>
      <c r="FE129" s="1">
        <v>0.497</v>
      </c>
      <c r="FJ129" s="1">
        <v>0.14000000000000001</v>
      </c>
      <c r="FM129" s="1">
        <v>0.77300000000000002</v>
      </c>
    </row>
    <row r="130" spans="1:169" x14ac:dyDescent="0.2">
      <c r="A130" s="1" t="s">
        <v>1897</v>
      </c>
      <c r="B130" s="1" t="s">
        <v>55</v>
      </c>
      <c r="C130" s="1" t="s">
        <v>236</v>
      </c>
      <c r="E130" s="1">
        <v>32</v>
      </c>
      <c r="F130" s="1" t="s">
        <v>1870</v>
      </c>
      <c r="H130" s="1" t="s">
        <v>1898</v>
      </c>
      <c r="I130" s="1" t="s">
        <v>7</v>
      </c>
      <c r="J130" s="1" t="s">
        <v>1899</v>
      </c>
      <c r="K130" s="1" t="s">
        <v>1873</v>
      </c>
      <c r="L130" s="1" t="s">
        <v>1874</v>
      </c>
      <c r="O130" s="1">
        <v>4</v>
      </c>
      <c r="P130" s="1" t="s">
        <v>1900</v>
      </c>
      <c r="Q130" s="1">
        <v>2008</v>
      </c>
      <c r="R130" s="1" t="s">
        <v>1746</v>
      </c>
      <c r="S130" s="1" t="s">
        <v>27</v>
      </c>
      <c r="T130" s="6">
        <v>1</v>
      </c>
      <c r="V130" s="1">
        <v>0.25</v>
      </c>
      <c r="Y130" s="1">
        <v>5.2999999999999999E-2</v>
      </c>
      <c r="Z130" s="1">
        <v>2.9000000000000001E-2</v>
      </c>
      <c r="AA130" s="1">
        <v>9.8000000000000004E-2</v>
      </c>
      <c r="AF130" s="1">
        <v>9.4E-2</v>
      </c>
      <c r="AG130" s="1">
        <v>4.0000000000000001E-3</v>
      </c>
      <c r="AU130" s="1" t="s">
        <v>15</v>
      </c>
      <c r="AW130" s="1">
        <v>1E-3</v>
      </c>
      <c r="AY130" s="1" t="s">
        <v>15</v>
      </c>
      <c r="BA130" s="1">
        <v>3.6999999999999998E-2</v>
      </c>
      <c r="BG130" s="1">
        <v>8.9999999999999993E-3</v>
      </c>
      <c r="BI130" s="1">
        <v>1E-3</v>
      </c>
      <c r="BQ130" s="1" t="s">
        <v>15</v>
      </c>
      <c r="BZ130" s="1">
        <v>2E-3</v>
      </c>
      <c r="CI130" s="1">
        <v>2.1999999999999999E-2</v>
      </c>
      <c r="CL130" s="1" t="s">
        <v>15</v>
      </c>
      <c r="CP130" s="1" t="s">
        <v>15</v>
      </c>
      <c r="DK130" s="1">
        <v>1E-3</v>
      </c>
      <c r="DT130" s="1" t="s">
        <v>15</v>
      </c>
      <c r="ED130" s="1" t="s">
        <v>15</v>
      </c>
      <c r="EF130" s="1">
        <v>1E-3</v>
      </c>
      <c r="ET130" s="1">
        <v>6.0000000000000001E-3</v>
      </c>
      <c r="EX130" s="1">
        <v>3.0000000000000001E-3</v>
      </c>
      <c r="FE130" s="1">
        <v>1.4999999999999999E-2</v>
      </c>
      <c r="FJ130" s="1">
        <v>3.0000000000000001E-3</v>
      </c>
      <c r="FM130" s="1">
        <v>6.9000000000000006E-2</v>
      </c>
    </row>
    <row r="131" spans="1:169" x14ac:dyDescent="0.2">
      <c r="A131" s="1" t="s">
        <v>1901</v>
      </c>
      <c r="B131" s="1" t="s">
        <v>57</v>
      </c>
      <c r="C131" s="1" t="s">
        <v>236</v>
      </c>
      <c r="E131" s="1">
        <v>57</v>
      </c>
      <c r="F131" s="1" t="s">
        <v>1902</v>
      </c>
      <c r="H131" s="1" t="s">
        <v>1903</v>
      </c>
      <c r="I131" s="1" t="s">
        <v>7</v>
      </c>
      <c r="J131" s="1" t="s">
        <v>1904</v>
      </c>
      <c r="K131" s="1" t="s">
        <v>1905</v>
      </c>
      <c r="L131" s="1" t="s">
        <v>1904</v>
      </c>
      <c r="O131" s="1">
        <v>2</v>
      </c>
      <c r="P131" s="1" t="s">
        <v>1745</v>
      </c>
      <c r="Q131" s="1">
        <v>2008</v>
      </c>
      <c r="R131" s="1" t="s">
        <v>1746</v>
      </c>
      <c r="S131" s="1" t="s">
        <v>27</v>
      </c>
      <c r="T131" s="6">
        <v>1</v>
      </c>
      <c r="V131" s="1">
        <v>0.85</v>
      </c>
      <c r="Y131" s="1">
        <v>0.193</v>
      </c>
      <c r="Z131" s="1">
        <v>3.3000000000000002E-2</v>
      </c>
      <c r="AA131" s="1">
        <v>0.28199999999999997</v>
      </c>
      <c r="AF131" s="1">
        <v>0.26100000000000001</v>
      </c>
      <c r="AG131" s="1">
        <v>2.1999999999999999E-2</v>
      </c>
      <c r="AU131" s="1" t="s">
        <v>15</v>
      </c>
      <c r="AW131" s="1">
        <v>1.0999999999999999E-2</v>
      </c>
      <c r="AY131" s="1" t="s">
        <v>15</v>
      </c>
      <c r="BA131" s="1">
        <v>0.13400000000000001</v>
      </c>
      <c r="BG131" s="1">
        <v>3.5000000000000003E-2</v>
      </c>
      <c r="BI131" s="1" t="s">
        <v>15</v>
      </c>
      <c r="BQ131" s="1" t="s">
        <v>15</v>
      </c>
      <c r="BZ131" s="1">
        <v>2E-3</v>
      </c>
      <c r="CI131" s="1">
        <v>1.7999999999999999E-2</v>
      </c>
      <c r="CL131" s="1">
        <v>2E-3</v>
      </c>
      <c r="CP131" s="1" t="s">
        <v>15</v>
      </c>
      <c r="DK131" s="1" t="s">
        <v>15</v>
      </c>
      <c r="DT131" s="1" t="s">
        <v>15</v>
      </c>
      <c r="ED131" s="1" t="s">
        <v>15</v>
      </c>
      <c r="EF131" s="1" t="s">
        <v>15</v>
      </c>
      <c r="ET131" s="1">
        <v>2.7E-2</v>
      </c>
      <c r="EX131" s="1">
        <v>2.1999999999999999E-2</v>
      </c>
      <c r="FE131" s="1">
        <v>6.9000000000000006E-2</v>
      </c>
      <c r="FJ131" s="1">
        <v>8.9999999999999993E-3</v>
      </c>
      <c r="FM131" s="1">
        <v>0.156</v>
      </c>
    </row>
    <row r="132" spans="1:169" x14ac:dyDescent="0.2">
      <c r="A132" s="1" t="s">
        <v>1906</v>
      </c>
      <c r="B132" s="1" t="s">
        <v>57</v>
      </c>
      <c r="C132" s="1" t="s">
        <v>236</v>
      </c>
      <c r="E132" s="1">
        <v>55</v>
      </c>
      <c r="F132" s="1" t="s">
        <v>1907</v>
      </c>
      <c r="H132" s="1" t="s">
        <v>1908</v>
      </c>
      <c r="I132" s="1" t="s">
        <v>7</v>
      </c>
      <c r="J132" s="1" t="s">
        <v>1909</v>
      </c>
      <c r="K132" s="1" t="s">
        <v>1910</v>
      </c>
      <c r="L132" s="1" t="s">
        <v>1909</v>
      </c>
      <c r="O132" s="1">
        <v>4</v>
      </c>
      <c r="P132" s="1" t="s">
        <v>1745</v>
      </c>
      <c r="Q132" s="1">
        <v>2008</v>
      </c>
      <c r="R132" s="1" t="s">
        <v>1746</v>
      </c>
      <c r="S132" s="1" t="s">
        <v>27</v>
      </c>
      <c r="T132" s="6">
        <v>1</v>
      </c>
      <c r="V132" s="1">
        <v>0.8</v>
      </c>
      <c r="Y132" s="1">
        <v>0.20100000000000001</v>
      </c>
      <c r="Z132" s="1">
        <v>4.8000000000000001E-2</v>
      </c>
      <c r="AA132" s="1">
        <v>0.26300000000000001</v>
      </c>
      <c r="AF132" s="1">
        <v>0.24199999999999999</v>
      </c>
      <c r="AG132" s="1">
        <v>0.02</v>
      </c>
      <c r="AU132" s="1" t="s">
        <v>15</v>
      </c>
      <c r="AW132" s="1">
        <v>1.4999999999999999E-2</v>
      </c>
      <c r="AY132" s="1">
        <v>4.0000000000000001E-3</v>
      </c>
      <c r="BA132" s="1">
        <v>0.128</v>
      </c>
      <c r="BG132" s="1">
        <v>3.3000000000000002E-2</v>
      </c>
      <c r="BI132" s="1">
        <v>0.01</v>
      </c>
      <c r="BQ132" s="1" t="s">
        <v>15</v>
      </c>
      <c r="BZ132" s="1">
        <v>1.2E-2</v>
      </c>
      <c r="CI132" s="1">
        <v>2.1000000000000001E-2</v>
      </c>
      <c r="CL132" s="1" t="s">
        <v>15</v>
      </c>
      <c r="CP132" s="1">
        <v>4.0000000000000001E-3</v>
      </c>
      <c r="DK132" s="1">
        <v>4.0000000000000001E-3</v>
      </c>
      <c r="DT132" s="1" t="s">
        <v>15</v>
      </c>
      <c r="ED132" s="1">
        <v>3.0000000000000001E-3</v>
      </c>
      <c r="EF132" s="1">
        <v>4.0000000000000001E-3</v>
      </c>
      <c r="ET132" s="1">
        <v>1.9E-2</v>
      </c>
      <c r="EX132" s="1">
        <v>1.2999999999999999E-2</v>
      </c>
      <c r="FE132" s="1">
        <v>0.105</v>
      </c>
      <c r="FJ132" s="1">
        <v>8.9999999999999993E-3</v>
      </c>
      <c r="FM132" s="1">
        <v>0.105</v>
      </c>
    </row>
    <row r="133" spans="1:169" x14ac:dyDescent="0.2">
      <c r="A133" s="1" t="s">
        <v>1911</v>
      </c>
      <c r="B133" s="1" t="s">
        <v>1912</v>
      </c>
      <c r="C133" s="1" t="s">
        <v>236</v>
      </c>
      <c r="E133" s="1">
        <v>43</v>
      </c>
      <c r="F133" s="1" t="s">
        <v>1913</v>
      </c>
      <c r="H133" s="1" t="s">
        <v>1914</v>
      </c>
      <c r="I133" s="1" t="s">
        <v>7</v>
      </c>
      <c r="J133" s="1" t="s">
        <v>1915</v>
      </c>
      <c r="K133" s="1" t="s">
        <v>1916</v>
      </c>
      <c r="L133" s="1" t="s">
        <v>1915</v>
      </c>
      <c r="O133" s="1">
        <v>1</v>
      </c>
      <c r="P133" s="1" t="s">
        <v>1745</v>
      </c>
      <c r="Q133" s="1">
        <v>2008</v>
      </c>
      <c r="R133" s="1" t="s">
        <v>1746</v>
      </c>
      <c r="S133" s="1" t="s">
        <v>27</v>
      </c>
      <c r="T133" s="6">
        <v>1</v>
      </c>
      <c r="V133" s="1">
        <v>1.53</v>
      </c>
      <c r="Y133" s="1">
        <v>0.28899999999999998</v>
      </c>
      <c r="Z133" s="1">
        <v>0.38900000000000001</v>
      </c>
      <c r="AA133" s="1">
        <v>0.33400000000000002</v>
      </c>
      <c r="AF133" s="1">
        <v>0.30199999999999999</v>
      </c>
      <c r="AG133" s="1">
        <v>1.9E-2</v>
      </c>
      <c r="AU133" s="1" t="s">
        <v>15</v>
      </c>
      <c r="AW133" s="1">
        <v>1.9E-2</v>
      </c>
      <c r="AY133" s="1">
        <v>6.0000000000000001E-3</v>
      </c>
      <c r="BA133" s="1">
        <v>0.16600000000000001</v>
      </c>
      <c r="BG133" s="1">
        <v>6.2E-2</v>
      </c>
      <c r="BI133" s="1">
        <v>2E-3</v>
      </c>
      <c r="BQ133" s="1" t="s">
        <v>15</v>
      </c>
      <c r="BZ133" s="1">
        <v>3.1E-2</v>
      </c>
      <c r="CI133" s="1">
        <v>0.32</v>
      </c>
      <c r="CL133" s="1">
        <v>2.1000000000000001E-2</v>
      </c>
      <c r="CP133" s="1" t="s">
        <v>15</v>
      </c>
      <c r="DK133" s="1">
        <v>8.9999999999999993E-3</v>
      </c>
      <c r="DT133" s="1" t="s">
        <v>15</v>
      </c>
      <c r="ED133" s="1" t="s">
        <v>15</v>
      </c>
      <c r="EF133" s="1">
        <v>2E-3</v>
      </c>
      <c r="ET133" s="1">
        <v>6.4000000000000001E-2</v>
      </c>
      <c r="EX133" s="1">
        <v>1.9E-2</v>
      </c>
      <c r="FE133" s="1">
        <v>2.8000000000000001E-2</v>
      </c>
      <c r="FJ133" s="1">
        <v>0.03</v>
      </c>
      <c r="FM133" s="1">
        <v>0.17799999999999999</v>
      </c>
    </row>
    <row r="134" spans="1:169" x14ac:dyDescent="0.2">
      <c r="A134" s="1" t="s">
        <v>1917</v>
      </c>
      <c r="B134" s="1" t="s">
        <v>57</v>
      </c>
      <c r="C134" s="1" t="s">
        <v>236</v>
      </c>
      <c r="E134" s="1">
        <v>54</v>
      </c>
      <c r="F134" s="1" t="s">
        <v>1918</v>
      </c>
      <c r="H134" s="1" t="s">
        <v>1919</v>
      </c>
      <c r="I134" s="1" t="s">
        <v>11</v>
      </c>
      <c r="J134" s="1" t="s">
        <v>1920</v>
      </c>
      <c r="K134" s="1" t="s">
        <v>1921</v>
      </c>
      <c r="L134" s="1" t="s">
        <v>1920</v>
      </c>
      <c r="O134" s="1">
        <v>4</v>
      </c>
      <c r="P134" s="1" t="s">
        <v>1745</v>
      </c>
      <c r="Q134" s="1">
        <v>2008</v>
      </c>
      <c r="R134" s="1" t="s">
        <v>1746</v>
      </c>
      <c r="S134" s="1" t="s">
        <v>27</v>
      </c>
      <c r="T134" s="6">
        <v>1</v>
      </c>
      <c r="V134" s="1">
        <v>1.0900000000000001</v>
      </c>
      <c r="Y134" s="1">
        <v>0.24</v>
      </c>
      <c r="Z134" s="1">
        <v>0.10199999999999999</v>
      </c>
      <c r="AA134" s="1">
        <v>0.41</v>
      </c>
      <c r="AF134" s="1">
        <v>0.36799999999999999</v>
      </c>
      <c r="AG134" s="1">
        <v>4.2000000000000003E-2</v>
      </c>
      <c r="AU134" s="1" t="s">
        <v>15</v>
      </c>
      <c r="AW134" s="1">
        <v>1.4999999999999999E-2</v>
      </c>
      <c r="AY134" s="1">
        <v>4.0000000000000001E-3</v>
      </c>
      <c r="BA134" s="1">
        <v>0.158</v>
      </c>
      <c r="BG134" s="1">
        <v>2.9000000000000001E-2</v>
      </c>
      <c r="BI134" s="1">
        <v>1.2E-2</v>
      </c>
      <c r="BQ134" s="1">
        <v>1E-3</v>
      </c>
      <c r="BZ134" s="1">
        <v>4.9000000000000002E-2</v>
      </c>
      <c r="CI134" s="1">
        <v>2.5000000000000001E-2</v>
      </c>
      <c r="CL134" s="1">
        <v>1.0999999999999999E-2</v>
      </c>
      <c r="CP134" s="1">
        <v>3.0000000000000001E-3</v>
      </c>
      <c r="DK134" s="1">
        <v>8.9999999999999993E-3</v>
      </c>
      <c r="DT134" s="1" t="s">
        <v>15</v>
      </c>
      <c r="ED134" s="1">
        <v>1E-3</v>
      </c>
      <c r="EF134" s="1">
        <v>0.01</v>
      </c>
      <c r="ET134" s="1">
        <v>3.3000000000000002E-2</v>
      </c>
      <c r="EX134" s="1">
        <v>3.2000000000000001E-2</v>
      </c>
      <c r="FE134" s="1">
        <v>0.16200000000000001</v>
      </c>
      <c r="FJ134" s="1">
        <v>1.2E-2</v>
      </c>
      <c r="FM134" s="1">
        <v>0.151</v>
      </c>
    </row>
    <row r="135" spans="1:169" x14ac:dyDescent="0.2">
      <c r="A135" s="1" t="s">
        <v>1922</v>
      </c>
      <c r="B135" s="1" t="s">
        <v>57</v>
      </c>
      <c r="C135" s="1" t="s">
        <v>236</v>
      </c>
      <c r="E135" s="1">
        <v>57</v>
      </c>
      <c r="F135" s="1" t="s">
        <v>1923</v>
      </c>
      <c r="H135" s="1" t="s">
        <v>1924</v>
      </c>
      <c r="I135" s="1" t="s">
        <v>7</v>
      </c>
      <c r="J135" s="1" t="s">
        <v>1925</v>
      </c>
      <c r="K135" s="1" t="s">
        <v>1926</v>
      </c>
      <c r="L135" s="1" t="s">
        <v>1925</v>
      </c>
      <c r="O135" s="1">
        <v>1</v>
      </c>
      <c r="P135" s="1" t="s">
        <v>1745</v>
      </c>
      <c r="Q135" s="1">
        <v>2008</v>
      </c>
      <c r="R135" s="1" t="s">
        <v>1746</v>
      </c>
      <c r="S135" s="1" t="s">
        <v>27</v>
      </c>
      <c r="T135" s="6">
        <v>1</v>
      </c>
      <c r="V135" s="1">
        <v>0.36</v>
      </c>
      <c r="Y135" s="1">
        <v>8.4000000000000005E-2</v>
      </c>
      <c r="Z135" s="1">
        <v>1.2E-2</v>
      </c>
      <c r="AA135" s="1">
        <v>0.122</v>
      </c>
      <c r="AF135" s="1">
        <v>0.10199999999999999</v>
      </c>
      <c r="AG135" s="1">
        <v>1.6E-2</v>
      </c>
      <c r="AU135" s="1" t="s">
        <v>15</v>
      </c>
      <c r="AW135" s="1">
        <v>3.0000000000000001E-3</v>
      </c>
      <c r="AY135" s="1" t="s">
        <v>15</v>
      </c>
      <c r="BA135" s="1">
        <v>5.8999999999999997E-2</v>
      </c>
      <c r="BG135" s="1">
        <v>1.9E-2</v>
      </c>
      <c r="BI135" s="1" t="s">
        <v>15</v>
      </c>
      <c r="BQ135" s="1" t="s">
        <v>15</v>
      </c>
      <c r="BZ135" s="1" t="s">
        <v>15</v>
      </c>
      <c r="CI135" s="1">
        <v>3.0000000000000001E-3</v>
      </c>
      <c r="CL135" s="1">
        <v>6.0000000000000001E-3</v>
      </c>
      <c r="CP135" s="1" t="s">
        <v>15</v>
      </c>
      <c r="DK135" s="1" t="s">
        <v>15</v>
      </c>
      <c r="DT135" s="1" t="s">
        <v>15</v>
      </c>
      <c r="ED135" s="1" t="s">
        <v>15</v>
      </c>
      <c r="EF135" s="1" t="s">
        <v>15</v>
      </c>
      <c r="ET135" s="1">
        <v>6.0000000000000001E-3</v>
      </c>
      <c r="EX135" s="1">
        <v>1.6E-2</v>
      </c>
      <c r="FE135" s="1">
        <v>3.6999999999999998E-2</v>
      </c>
      <c r="FJ135" s="1">
        <v>3.0000000000000001E-3</v>
      </c>
      <c r="FM135" s="1">
        <v>5.6000000000000001E-2</v>
      </c>
    </row>
    <row r="136" spans="1:169" x14ac:dyDescent="0.2">
      <c r="A136" s="1" t="s">
        <v>1927</v>
      </c>
      <c r="B136" s="1" t="s">
        <v>1912</v>
      </c>
      <c r="C136" s="1" t="s">
        <v>236</v>
      </c>
      <c r="E136" s="1">
        <v>43</v>
      </c>
      <c r="F136" s="1" t="s">
        <v>1928</v>
      </c>
      <c r="H136" s="1" t="s">
        <v>1929</v>
      </c>
      <c r="I136" s="1" t="s">
        <v>11</v>
      </c>
      <c r="J136" s="1" t="s">
        <v>1930</v>
      </c>
      <c r="K136" s="1" t="s">
        <v>1931</v>
      </c>
      <c r="L136" s="1" t="s">
        <v>1930</v>
      </c>
      <c r="O136" s="1">
        <v>3</v>
      </c>
      <c r="P136" s="1" t="s">
        <v>1745</v>
      </c>
      <c r="Q136" s="1">
        <v>2008</v>
      </c>
      <c r="R136" s="1" t="s">
        <v>1746</v>
      </c>
      <c r="S136" s="1" t="s">
        <v>27</v>
      </c>
      <c r="T136" s="6">
        <v>1</v>
      </c>
      <c r="V136" s="1">
        <v>0.63</v>
      </c>
      <c r="Y136" s="1">
        <v>0.121</v>
      </c>
      <c r="Z136" s="1">
        <v>0.11600000000000001</v>
      </c>
      <c r="AA136" s="1">
        <v>0.19700000000000001</v>
      </c>
      <c r="AF136" s="1">
        <v>0.17199999999999999</v>
      </c>
      <c r="AG136" s="1">
        <v>2.1000000000000001E-2</v>
      </c>
      <c r="AU136" s="1" t="s">
        <v>15</v>
      </c>
      <c r="AW136" s="1">
        <v>6.0000000000000001E-3</v>
      </c>
      <c r="AY136" s="1">
        <v>3.0000000000000001E-3</v>
      </c>
      <c r="BA136" s="1">
        <v>7.9000000000000001E-2</v>
      </c>
      <c r="BG136" s="1">
        <v>0.02</v>
      </c>
      <c r="BI136" s="1">
        <v>5.0000000000000001E-3</v>
      </c>
      <c r="BQ136" s="1" t="s">
        <v>15</v>
      </c>
      <c r="BZ136" s="1">
        <v>1.9E-2</v>
      </c>
      <c r="CI136" s="1">
        <v>7.6999999999999999E-2</v>
      </c>
      <c r="CL136" s="1">
        <v>8.9999999999999993E-3</v>
      </c>
      <c r="CP136" s="1" t="s">
        <v>15</v>
      </c>
      <c r="DK136" s="1">
        <v>4.0000000000000001E-3</v>
      </c>
      <c r="DT136" s="1" t="s">
        <v>15</v>
      </c>
      <c r="ED136" s="1">
        <v>1E-3</v>
      </c>
      <c r="EF136" s="1">
        <v>5.0000000000000001E-3</v>
      </c>
      <c r="ET136" s="1">
        <v>1.0999999999999999E-2</v>
      </c>
      <c r="EX136" s="1">
        <v>1.6E-2</v>
      </c>
      <c r="FE136" s="1">
        <v>7.5999999999999998E-2</v>
      </c>
      <c r="FJ136" s="1">
        <v>8.0000000000000002E-3</v>
      </c>
      <c r="FM136" s="1">
        <v>7.1999999999999995E-2</v>
      </c>
    </row>
    <row r="137" spans="1:169" x14ac:dyDescent="0.2">
      <c r="A137" s="1" t="s">
        <v>1932</v>
      </c>
      <c r="B137" s="1" t="s">
        <v>1912</v>
      </c>
      <c r="C137" s="1" t="s">
        <v>236</v>
      </c>
      <c r="E137" s="1">
        <v>45</v>
      </c>
      <c r="F137" s="1" t="s">
        <v>1933</v>
      </c>
      <c r="H137" s="1" t="s">
        <v>1934</v>
      </c>
      <c r="I137" s="1" t="s">
        <v>7</v>
      </c>
      <c r="J137" s="1" t="s">
        <v>1935</v>
      </c>
      <c r="K137" s="1" t="s">
        <v>1936</v>
      </c>
      <c r="L137" s="1" t="s">
        <v>1937</v>
      </c>
      <c r="O137" s="1">
        <v>4</v>
      </c>
      <c r="P137" s="1" t="s">
        <v>1938</v>
      </c>
      <c r="Q137" s="1">
        <v>2008</v>
      </c>
      <c r="R137" s="1" t="s">
        <v>1746</v>
      </c>
      <c r="S137" s="1" t="s">
        <v>27</v>
      </c>
      <c r="T137" s="6">
        <v>1</v>
      </c>
      <c r="V137" s="1">
        <v>0.76</v>
      </c>
      <c r="Y137" s="1">
        <v>0.16200000000000001</v>
      </c>
      <c r="Z137" s="1">
        <v>0.14899999999999999</v>
      </c>
      <c r="AA137" s="1">
        <v>0.23499999999999999</v>
      </c>
      <c r="AF137" s="1">
        <v>0.15</v>
      </c>
      <c r="AG137" s="1">
        <v>8.4000000000000005E-2</v>
      </c>
      <c r="AU137" s="1" t="s">
        <v>15</v>
      </c>
      <c r="AW137" s="1">
        <v>3.0000000000000001E-3</v>
      </c>
      <c r="AY137" s="1">
        <v>4.0000000000000001E-3</v>
      </c>
      <c r="BA137" s="1">
        <v>6.9000000000000006E-2</v>
      </c>
      <c r="BG137" s="1">
        <v>6.0999999999999999E-2</v>
      </c>
      <c r="BI137" s="1">
        <v>1E-3</v>
      </c>
      <c r="BQ137" s="1" t="s">
        <v>15</v>
      </c>
      <c r="BZ137" s="1">
        <v>4.8000000000000001E-2</v>
      </c>
      <c r="CI137" s="1">
        <v>8.1000000000000003E-2</v>
      </c>
      <c r="CL137" s="1">
        <v>7.0000000000000001E-3</v>
      </c>
      <c r="CP137" s="1" t="s">
        <v>15</v>
      </c>
      <c r="DK137" s="1">
        <v>6.2E-2</v>
      </c>
      <c r="DT137" s="1" t="s">
        <v>15</v>
      </c>
      <c r="ED137" s="1">
        <v>1E-3</v>
      </c>
      <c r="EF137" s="1">
        <v>3.0000000000000001E-3</v>
      </c>
      <c r="ET137" s="1">
        <v>4.0000000000000001E-3</v>
      </c>
      <c r="EX137" s="1">
        <v>2.1000000000000001E-2</v>
      </c>
      <c r="FE137" s="1">
        <v>7.0999999999999994E-2</v>
      </c>
      <c r="FJ137" s="1">
        <v>6.0000000000000001E-3</v>
      </c>
      <c r="FM137" s="1">
        <v>6.6000000000000003E-2</v>
      </c>
    </row>
    <row r="138" spans="1:169" x14ac:dyDescent="0.2">
      <c r="A138" s="1" t="s">
        <v>1939</v>
      </c>
      <c r="B138" s="1" t="s">
        <v>57</v>
      </c>
      <c r="C138" s="1" t="s">
        <v>236</v>
      </c>
      <c r="E138" s="1">
        <v>57</v>
      </c>
      <c r="F138" s="1" t="s">
        <v>1940</v>
      </c>
      <c r="H138" s="1" t="s">
        <v>1941</v>
      </c>
      <c r="I138" s="1" t="s">
        <v>7</v>
      </c>
      <c r="J138" s="1" t="s">
        <v>1942</v>
      </c>
      <c r="K138" s="1" t="s">
        <v>1943</v>
      </c>
      <c r="L138" s="1" t="s">
        <v>1942</v>
      </c>
      <c r="O138" s="1">
        <v>4</v>
      </c>
      <c r="P138" s="1" t="s">
        <v>1745</v>
      </c>
      <c r="Q138" s="1">
        <v>2008</v>
      </c>
      <c r="R138" s="1" t="s">
        <v>1746</v>
      </c>
      <c r="S138" s="1" t="s">
        <v>27</v>
      </c>
      <c r="T138" s="6">
        <v>1</v>
      </c>
      <c r="V138" s="1">
        <v>1.33</v>
      </c>
      <c r="Y138" s="1">
        <v>0.255</v>
      </c>
      <c r="Z138" s="1">
        <v>0.10299999999999999</v>
      </c>
      <c r="AA138" s="1">
        <v>0.44</v>
      </c>
      <c r="AF138" s="1">
        <v>0.28999999999999998</v>
      </c>
      <c r="AG138" s="1">
        <v>0.14899999999999999</v>
      </c>
      <c r="AU138" s="1" t="s">
        <v>15</v>
      </c>
      <c r="AW138" s="1">
        <v>1.4E-2</v>
      </c>
      <c r="AY138" s="1">
        <v>3.0000000000000001E-3</v>
      </c>
      <c r="BA138" s="1">
        <v>0.186</v>
      </c>
      <c r="BG138" s="1">
        <v>4.5999999999999999E-2</v>
      </c>
      <c r="BI138" s="1" t="s">
        <v>15</v>
      </c>
      <c r="BQ138" s="1">
        <v>1E-3</v>
      </c>
      <c r="BZ138" s="1">
        <v>8.0000000000000002E-3</v>
      </c>
      <c r="CI138" s="1">
        <v>7.6999999999999999E-2</v>
      </c>
      <c r="CL138" s="1" t="s">
        <v>15</v>
      </c>
      <c r="CP138" s="1" t="s">
        <v>15</v>
      </c>
      <c r="DK138" s="1">
        <v>0.13600000000000001</v>
      </c>
      <c r="DT138" s="1">
        <v>1E-3</v>
      </c>
      <c r="ED138" s="1">
        <v>1E-3</v>
      </c>
      <c r="EF138" s="1">
        <v>1E-3</v>
      </c>
      <c r="ET138" s="1">
        <v>2.3E-2</v>
      </c>
      <c r="EX138" s="1">
        <v>1.2E-2</v>
      </c>
      <c r="FE138" s="1">
        <v>6.8000000000000005E-2</v>
      </c>
      <c r="FJ138" s="1">
        <v>3.1E-2</v>
      </c>
      <c r="FM138" s="1">
        <v>0.16700000000000001</v>
      </c>
    </row>
    <row r="139" spans="1:169" x14ac:dyDescent="0.2">
      <c r="A139" s="1" t="s">
        <v>1944</v>
      </c>
      <c r="B139" s="1" t="s">
        <v>55</v>
      </c>
      <c r="C139" s="1" t="s">
        <v>236</v>
      </c>
      <c r="E139" s="1">
        <v>35</v>
      </c>
      <c r="F139" s="1" t="s">
        <v>1741</v>
      </c>
      <c r="H139" s="1" t="s">
        <v>1945</v>
      </c>
      <c r="I139" s="1" t="s">
        <v>11</v>
      </c>
      <c r="J139" s="1" t="s">
        <v>1743</v>
      </c>
      <c r="K139" s="1" t="s">
        <v>1744</v>
      </c>
      <c r="L139" s="1" t="s">
        <v>1743</v>
      </c>
      <c r="O139" s="1">
        <v>2</v>
      </c>
      <c r="P139" s="1" t="s">
        <v>1946</v>
      </c>
      <c r="Q139" s="1">
        <v>2008</v>
      </c>
      <c r="R139" s="1" t="s">
        <v>1746</v>
      </c>
      <c r="S139" s="1" t="s">
        <v>27</v>
      </c>
      <c r="T139" s="6">
        <v>1</v>
      </c>
      <c r="V139" s="1">
        <v>7.36</v>
      </c>
      <c r="Y139" s="1">
        <v>2.2589999999999999</v>
      </c>
      <c r="Z139" s="1">
        <v>1.3009999999999999</v>
      </c>
      <c r="AA139" s="1">
        <v>2.694</v>
      </c>
      <c r="AF139" s="1">
        <v>1.7709999999999999</v>
      </c>
      <c r="AG139" s="1">
        <v>0.92</v>
      </c>
      <c r="AU139" s="1" t="s">
        <v>15</v>
      </c>
      <c r="AW139" s="1">
        <v>0.10100000000000001</v>
      </c>
      <c r="AY139" s="1" t="s">
        <v>15</v>
      </c>
      <c r="BA139" s="1">
        <v>1.294</v>
      </c>
      <c r="BG139" s="1">
        <v>0.86</v>
      </c>
      <c r="BI139" s="1">
        <v>3.0000000000000001E-3</v>
      </c>
      <c r="BQ139" s="1" t="s">
        <v>15</v>
      </c>
      <c r="BZ139" s="1">
        <v>0.156</v>
      </c>
      <c r="CI139" s="1">
        <v>1.145</v>
      </c>
      <c r="CL139" s="1" t="s">
        <v>15</v>
      </c>
      <c r="CP139" s="1" t="s">
        <v>15</v>
      </c>
      <c r="DK139" s="1">
        <v>0.81399999999999995</v>
      </c>
      <c r="DT139" s="1" t="s">
        <v>15</v>
      </c>
      <c r="ED139" s="1" t="s">
        <v>15</v>
      </c>
      <c r="EF139" s="1">
        <v>0.127</v>
      </c>
      <c r="ET139" s="1">
        <v>5.3999999999999999E-2</v>
      </c>
      <c r="EX139" s="1">
        <v>0.106</v>
      </c>
      <c r="FE139" s="1">
        <v>0.46600000000000003</v>
      </c>
      <c r="FJ139" s="1">
        <v>0.23799999999999999</v>
      </c>
      <c r="FM139" s="1">
        <v>0.88600000000000001</v>
      </c>
    </row>
    <row r="140" spans="1:169" x14ac:dyDescent="0.2">
      <c r="A140" s="1" t="s">
        <v>1947</v>
      </c>
      <c r="B140" s="1" t="s">
        <v>1912</v>
      </c>
      <c r="C140" s="1" t="s">
        <v>236</v>
      </c>
      <c r="E140" s="1">
        <v>42</v>
      </c>
      <c r="F140" s="1" t="s">
        <v>1948</v>
      </c>
      <c r="H140" s="1" t="s">
        <v>1949</v>
      </c>
      <c r="I140" s="1" t="s">
        <v>11</v>
      </c>
      <c r="J140" s="1" t="s">
        <v>1950</v>
      </c>
      <c r="K140" s="1" t="s">
        <v>1951</v>
      </c>
      <c r="L140" s="1" t="s">
        <v>1950</v>
      </c>
      <c r="O140" s="1">
        <v>1</v>
      </c>
      <c r="P140" s="1" t="s">
        <v>1745</v>
      </c>
      <c r="Q140" s="1">
        <v>2008</v>
      </c>
      <c r="R140" s="1" t="s">
        <v>1746</v>
      </c>
      <c r="S140" s="1" t="s">
        <v>27</v>
      </c>
      <c r="T140" s="6">
        <v>1</v>
      </c>
      <c r="V140" s="1">
        <v>0.56999999999999995</v>
      </c>
      <c r="Y140" s="1">
        <v>0.122</v>
      </c>
      <c r="Z140" s="1">
        <v>0.08</v>
      </c>
      <c r="AA140" s="1">
        <v>0.19900000000000001</v>
      </c>
      <c r="AF140" s="1">
        <v>0.158</v>
      </c>
      <c r="AG140" s="1">
        <v>0.04</v>
      </c>
      <c r="AU140" s="1" t="s">
        <v>15</v>
      </c>
      <c r="AW140" s="1">
        <v>3.0000000000000001E-3</v>
      </c>
      <c r="AY140" s="1">
        <v>3.0000000000000001E-3</v>
      </c>
      <c r="BA140" s="1">
        <v>5.8999999999999997E-2</v>
      </c>
      <c r="BG140" s="1">
        <v>4.2000000000000003E-2</v>
      </c>
      <c r="BI140" s="1">
        <v>1E-3</v>
      </c>
      <c r="BQ140" s="1" t="s">
        <v>15</v>
      </c>
      <c r="BZ140" s="1">
        <v>1.6E-2</v>
      </c>
      <c r="CI140" s="1">
        <v>4.2999999999999997E-2</v>
      </c>
      <c r="CL140" s="1">
        <v>1.2999999999999999E-2</v>
      </c>
      <c r="CP140" s="1" t="s">
        <v>15</v>
      </c>
      <c r="DK140" s="1">
        <v>7.0000000000000001E-3</v>
      </c>
      <c r="DT140" s="1" t="s">
        <v>15</v>
      </c>
      <c r="ED140" s="1" t="s">
        <v>15</v>
      </c>
      <c r="EF140" s="1">
        <v>3.0000000000000001E-3</v>
      </c>
      <c r="ET140" s="1">
        <v>1E-3</v>
      </c>
      <c r="EX140" s="1">
        <v>3.3000000000000002E-2</v>
      </c>
      <c r="FE140" s="1">
        <v>7.2999999999999995E-2</v>
      </c>
      <c r="FJ140" s="1">
        <v>4.0000000000000001E-3</v>
      </c>
      <c r="FM140" s="1">
        <v>7.6999999999999999E-2</v>
      </c>
    </row>
    <row r="141" spans="1:169" x14ac:dyDescent="0.2">
      <c r="A141" s="1" t="s">
        <v>1952</v>
      </c>
      <c r="B141" s="1" t="s">
        <v>55</v>
      </c>
      <c r="C141" s="1" t="s">
        <v>236</v>
      </c>
      <c r="E141" s="1">
        <v>37</v>
      </c>
      <c r="F141" s="1" t="s">
        <v>1601</v>
      </c>
      <c r="H141" s="1" t="s">
        <v>1953</v>
      </c>
      <c r="I141" s="1" t="s">
        <v>11</v>
      </c>
      <c r="J141" s="1" t="s">
        <v>1603</v>
      </c>
      <c r="K141" s="1" t="s">
        <v>1604</v>
      </c>
      <c r="L141" s="1" t="s">
        <v>1603</v>
      </c>
      <c r="O141" s="1">
        <v>1</v>
      </c>
      <c r="P141" s="1" t="s">
        <v>1946</v>
      </c>
      <c r="Q141" s="1">
        <v>2008</v>
      </c>
      <c r="R141" s="1" t="s">
        <v>1746</v>
      </c>
      <c r="S141" s="1" t="s">
        <v>27</v>
      </c>
      <c r="T141" s="6">
        <v>1</v>
      </c>
      <c r="V141" s="1">
        <v>13.2</v>
      </c>
      <c r="Y141" s="1">
        <v>3.73</v>
      </c>
      <c r="Z141" s="1">
        <v>1.794</v>
      </c>
      <c r="AA141" s="1">
        <v>5.976</v>
      </c>
      <c r="AF141" s="1">
        <v>4.3529999999999998</v>
      </c>
      <c r="AG141" s="1">
        <v>1.458</v>
      </c>
      <c r="AU141" s="1" t="s">
        <v>15</v>
      </c>
      <c r="AW141" s="1">
        <v>0.54600000000000004</v>
      </c>
      <c r="AY141" s="1" t="s">
        <v>15</v>
      </c>
      <c r="BA141" s="1">
        <v>2.2240000000000002</v>
      </c>
      <c r="BG141" s="1">
        <v>0.56899999999999995</v>
      </c>
      <c r="BI141" s="1" t="s">
        <v>15</v>
      </c>
      <c r="BQ141" s="1" t="s">
        <v>15</v>
      </c>
      <c r="BZ141" s="1" t="s">
        <v>15</v>
      </c>
      <c r="CI141" s="1">
        <v>1.3129999999999999</v>
      </c>
      <c r="CL141" s="1">
        <v>0.27800000000000002</v>
      </c>
      <c r="CP141" s="1">
        <v>3.6999999999999998E-2</v>
      </c>
      <c r="DK141" s="1">
        <v>0.34599999999999997</v>
      </c>
      <c r="DT141" s="1">
        <v>0.129</v>
      </c>
      <c r="ED141" s="1">
        <v>2.1999999999999999E-2</v>
      </c>
      <c r="EF141" s="1">
        <v>0.16200000000000001</v>
      </c>
      <c r="ET141" s="1">
        <v>1.2629999999999999</v>
      </c>
      <c r="EX141" s="1">
        <v>1.0900000000000001</v>
      </c>
      <c r="FE141" s="1">
        <v>0.79100000000000004</v>
      </c>
      <c r="FJ141" s="1">
        <v>0.152</v>
      </c>
      <c r="FM141" s="1">
        <v>1.9850000000000001</v>
      </c>
    </row>
    <row r="142" spans="1:169" x14ac:dyDescent="0.2">
      <c r="A142" s="1" t="s">
        <v>1954</v>
      </c>
      <c r="B142" s="1" t="s">
        <v>55</v>
      </c>
      <c r="C142" s="1" t="s">
        <v>236</v>
      </c>
      <c r="E142" s="1">
        <v>35</v>
      </c>
      <c r="F142" s="1" t="s">
        <v>1798</v>
      </c>
      <c r="H142" s="1" t="s">
        <v>1955</v>
      </c>
      <c r="I142" s="1" t="s">
        <v>11</v>
      </c>
      <c r="J142" s="1" t="s">
        <v>1800</v>
      </c>
      <c r="K142" s="1" t="s">
        <v>1801</v>
      </c>
      <c r="L142" s="1" t="s">
        <v>1800</v>
      </c>
      <c r="O142" s="1">
        <v>1</v>
      </c>
      <c r="P142" s="1" t="s">
        <v>1946</v>
      </c>
      <c r="Q142" s="1">
        <v>2008</v>
      </c>
      <c r="R142" s="1" t="s">
        <v>1746</v>
      </c>
      <c r="S142" s="1" t="s">
        <v>27</v>
      </c>
      <c r="T142" s="6">
        <v>1</v>
      </c>
      <c r="V142" s="1">
        <v>9.8000000000000007</v>
      </c>
      <c r="Y142" s="1">
        <v>2.2189999999999999</v>
      </c>
      <c r="Z142" s="1">
        <v>1.427</v>
      </c>
      <c r="AA142" s="1">
        <v>4.0949999999999998</v>
      </c>
      <c r="AF142" s="1">
        <v>3.149</v>
      </c>
      <c r="AG142" s="1">
        <v>0.94599999999999995</v>
      </c>
      <c r="AU142" s="1" t="s">
        <v>15</v>
      </c>
      <c r="AW142" s="1">
        <v>0.36499999999999999</v>
      </c>
      <c r="AY142" s="1">
        <v>3.2000000000000001E-2</v>
      </c>
      <c r="BA142" s="1">
        <v>1.5509999999999999</v>
      </c>
      <c r="BG142" s="1">
        <v>0.182</v>
      </c>
      <c r="BI142" s="1" t="s">
        <v>15</v>
      </c>
      <c r="BQ142" s="1">
        <v>0.01</v>
      </c>
      <c r="BZ142" s="1">
        <v>0.28299999999999997</v>
      </c>
      <c r="CI142" s="1">
        <v>0.751</v>
      </c>
      <c r="CL142" s="1">
        <v>0.245</v>
      </c>
      <c r="CP142" s="1" t="s">
        <v>15</v>
      </c>
      <c r="DK142" s="1">
        <v>0.14899999999999999</v>
      </c>
      <c r="DT142" s="1" t="s">
        <v>15</v>
      </c>
      <c r="ED142" s="1" t="s">
        <v>15</v>
      </c>
      <c r="EF142" s="1">
        <v>6.8000000000000005E-2</v>
      </c>
      <c r="ET142" s="1">
        <v>0.63400000000000001</v>
      </c>
      <c r="EX142" s="1">
        <v>0.79700000000000004</v>
      </c>
      <c r="FE142" s="1">
        <v>0.77300000000000002</v>
      </c>
      <c r="FJ142" s="1">
        <v>8.3000000000000004E-2</v>
      </c>
      <c r="FM142" s="1">
        <v>1.591</v>
      </c>
    </row>
    <row r="143" spans="1:169" x14ac:dyDescent="0.2">
      <c r="A143" s="1" t="s">
        <v>1956</v>
      </c>
      <c r="B143" s="1" t="s">
        <v>55</v>
      </c>
      <c r="C143" s="1" t="s">
        <v>236</v>
      </c>
      <c r="E143" s="1">
        <v>35</v>
      </c>
      <c r="F143" s="1" t="s">
        <v>1798</v>
      </c>
      <c r="H143" s="1" t="s">
        <v>1957</v>
      </c>
      <c r="I143" s="1" t="s">
        <v>11</v>
      </c>
      <c r="J143" s="1" t="s">
        <v>1800</v>
      </c>
      <c r="K143" s="1" t="s">
        <v>1801</v>
      </c>
      <c r="L143" s="1" t="s">
        <v>1800</v>
      </c>
      <c r="O143" s="1">
        <v>1</v>
      </c>
      <c r="P143" s="1" t="s">
        <v>1946</v>
      </c>
      <c r="Q143" s="1">
        <v>2008</v>
      </c>
      <c r="R143" s="1" t="s">
        <v>1746</v>
      </c>
      <c r="S143" s="1" t="s">
        <v>27</v>
      </c>
      <c r="T143" s="6">
        <v>1</v>
      </c>
      <c r="V143" s="1">
        <v>11.9</v>
      </c>
      <c r="Y143" s="1">
        <v>3.3279999999999998</v>
      </c>
      <c r="Z143" s="1">
        <v>3.093</v>
      </c>
      <c r="AA143" s="1">
        <v>4.484</v>
      </c>
      <c r="AF143" s="1">
        <v>3.6539999999999999</v>
      </c>
      <c r="AG143" s="1">
        <v>16.795999999999999</v>
      </c>
      <c r="AU143" s="1" t="s">
        <v>15</v>
      </c>
      <c r="AW143" s="1">
        <v>0.34</v>
      </c>
      <c r="AY143" s="1">
        <v>0.03</v>
      </c>
      <c r="BA143" s="1">
        <v>2.3220000000000001</v>
      </c>
      <c r="BG143" s="1">
        <v>0.52200000000000002</v>
      </c>
      <c r="BI143" s="1" t="s">
        <v>15</v>
      </c>
      <c r="BQ143" s="1" t="s">
        <v>15</v>
      </c>
      <c r="BZ143" s="1">
        <v>0.36499999999999999</v>
      </c>
      <c r="CI143" s="1">
        <v>2.5790000000000002</v>
      </c>
      <c r="CL143" s="1" t="s">
        <v>15</v>
      </c>
      <c r="CP143" s="1" t="s">
        <v>15</v>
      </c>
      <c r="DK143" s="1">
        <v>0.59</v>
      </c>
      <c r="DT143" s="1" t="s">
        <v>15</v>
      </c>
      <c r="ED143" s="1">
        <v>16</v>
      </c>
      <c r="EF143" s="1">
        <v>5.2999999999999999E-2</v>
      </c>
      <c r="ET143" s="1">
        <v>0.33800000000000002</v>
      </c>
      <c r="EX143" s="1">
        <v>0.20599999999999999</v>
      </c>
      <c r="FE143" s="1">
        <v>1.1080000000000001</v>
      </c>
      <c r="FJ143" s="1">
        <v>0.156</v>
      </c>
      <c r="FM143" s="1">
        <v>1.9990000000000001</v>
      </c>
    </row>
    <row r="144" spans="1:169" x14ac:dyDescent="0.2">
      <c r="A144" s="1" t="s">
        <v>1958</v>
      </c>
      <c r="B144" s="1" t="s">
        <v>55</v>
      </c>
      <c r="C144" s="1" t="s">
        <v>236</v>
      </c>
      <c r="E144" s="1">
        <v>36</v>
      </c>
      <c r="F144" s="1" t="s">
        <v>1959</v>
      </c>
      <c r="H144" s="1" t="s">
        <v>1960</v>
      </c>
      <c r="I144" s="1" t="s">
        <v>11</v>
      </c>
      <c r="J144" s="1" t="s">
        <v>1961</v>
      </c>
      <c r="K144" s="1" t="s">
        <v>1962</v>
      </c>
      <c r="L144" s="1" t="s">
        <v>1963</v>
      </c>
      <c r="O144" s="1">
        <v>5</v>
      </c>
      <c r="P144" s="1" t="s">
        <v>1964</v>
      </c>
      <c r="Q144" s="1">
        <v>2008</v>
      </c>
      <c r="R144" s="1" t="s">
        <v>1746</v>
      </c>
      <c r="S144" s="1" t="s">
        <v>27</v>
      </c>
      <c r="T144" s="6">
        <v>1</v>
      </c>
      <c r="V144" s="1">
        <v>6.03</v>
      </c>
      <c r="Y144" s="1">
        <v>1.1970000000000001</v>
      </c>
      <c r="Z144" s="1">
        <v>1.76</v>
      </c>
      <c r="AA144" s="1">
        <v>0.90100000000000002</v>
      </c>
      <c r="AF144" s="1">
        <v>0.72899999999999998</v>
      </c>
      <c r="AG144" s="1">
        <v>0.16900000000000001</v>
      </c>
      <c r="AU144" s="1" t="s">
        <v>15</v>
      </c>
      <c r="AW144" s="1">
        <v>5.6000000000000001E-2</v>
      </c>
      <c r="AY144" s="1">
        <v>4.0000000000000001E-3</v>
      </c>
      <c r="BA144" s="1">
        <v>0.40400000000000003</v>
      </c>
      <c r="BG144" s="1">
        <v>0.71699999999999997</v>
      </c>
      <c r="BI144" s="1">
        <v>1E-3</v>
      </c>
      <c r="BQ144" s="1">
        <v>1E-3</v>
      </c>
      <c r="BZ144" s="1">
        <v>4.3999999999999997E-2</v>
      </c>
      <c r="CI144" s="1">
        <v>1.6830000000000001</v>
      </c>
      <c r="CL144" s="1">
        <v>2.1000000000000001E-2</v>
      </c>
      <c r="CP144" s="1">
        <v>8.0000000000000002E-3</v>
      </c>
      <c r="DK144" s="1">
        <v>0.106</v>
      </c>
      <c r="DT144" s="1" t="s">
        <v>15</v>
      </c>
      <c r="ED144" s="1" t="s">
        <v>15</v>
      </c>
      <c r="EF144" s="1">
        <v>8.7999999999999995E-2</v>
      </c>
      <c r="ET144" s="1">
        <v>4.0000000000000001E-3</v>
      </c>
      <c r="EX144" s="1">
        <v>6.3E-2</v>
      </c>
      <c r="FE144" s="1">
        <v>0.17699999999999999</v>
      </c>
      <c r="FJ144" s="1">
        <v>5.1999999999999998E-2</v>
      </c>
      <c r="FM144" s="1">
        <v>0.40799999999999997</v>
      </c>
    </row>
    <row r="145" spans="1:169" x14ac:dyDescent="0.2">
      <c r="A145" s="1" t="s">
        <v>1965</v>
      </c>
      <c r="B145" s="1" t="s">
        <v>55</v>
      </c>
      <c r="C145" s="1" t="s">
        <v>236</v>
      </c>
      <c r="E145" s="1">
        <v>32</v>
      </c>
      <c r="F145" s="1" t="s">
        <v>1769</v>
      </c>
      <c r="H145" s="1" t="s">
        <v>1966</v>
      </c>
      <c r="I145" s="1" t="s">
        <v>11</v>
      </c>
      <c r="J145" s="1" t="s">
        <v>1771</v>
      </c>
      <c r="K145" s="1" t="s">
        <v>1772</v>
      </c>
      <c r="L145" s="1" t="s">
        <v>1771</v>
      </c>
      <c r="O145" s="1">
        <v>1</v>
      </c>
      <c r="P145" s="1" t="s">
        <v>1946</v>
      </c>
      <c r="Q145" s="1">
        <v>2008</v>
      </c>
      <c r="R145" s="1" t="s">
        <v>1746</v>
      </c>
      <c r="S145" s="1" t="s">
        <v>27</v>
      </c>
      <c r="T145" s="6">
        <v>1</v>
      </c>
      <c r="V145" s="1">
        <v>0.24</v>
      </c>
      <c r="Y145" s="1">
        <v>5.8999999999999997E-2</v>
      </c>
      <c r="Z145" s="1">
        <v>2.5000000000000001E-2</v>
      </c>
      <c r="AA145" s="1">
        <v>7.4999999999999997E-2</v>
      </c>
      <c r="AF145" s="1">
        <v>6.7000000000000004E-2</v>
      </c>
      <c r="AG145" s="1">
        <v>8.0000000000000002E-3</v>
      </c>
      <c r="AU145" s="1" t="s">
        <v>15</v>
      </c>
      <c r="AW145" s="1">
        <v>1E-3</v>
      </c>
      <c r="AY145" s="1" t="s">
        <v>15</v>
      </c>
      <c r="BA145" s="1">
        <v>3.9E-2</v>
      </c>
      <c r="BG145" s="1">
        <v>1.9E-2</v>
      </c>
      <c r="BI145" s="1" t="s">
        <v>15</v>
      </c>
      <c r="BQ145" s="1" t="s">
        <v>15</v>
      </c>
      <c r="BZ145" s="1">
        <v>1E-3</v>
      </c>
      <c r="CI145" s="1">
        <v>2.3E-2</v>
      </c>
      <c r="CL145" s="1" t="s">
        <v>15</v>
      </c>
      <c r="CP145" s="1" t="s">
        <v>15</v>
      </c>
      <c r="DK145" s="1">
        <v>3.0000000000000001E-3</v>
      </c>
      <c r="DT145" s="1" t="s">
        <v>15</v>
      </c>
      <c r="ED145" s="1" t="s">
        <v>15</v>
      </c>
      <c r="EF145" s="1">
        <v>1.4999999999999999E-2</v>
      </c>
      <c r="ET145" s="1" t="s">
        <v>15</v>
      </c>
      <c r="EX145" s="1">
        <v>5.0000000000000001E-3</v>
      </c>
      <c r="FE145" s="1">
        <v>2.3E-2</v>
      </c>
      <c r="FJ145" s="1">
        <v>5.0000000000000001E-3</v>
      </c>
      <c r="FM145" s="1">
        <v>2.4E-2</v>
      </c>
    </row>
    <row r="146" spans="1:169" x14ac:dyDescent="0.2">
      <c r="A146" s="1" t="s">
        <v>1967</v>
      </c>
      <c r="B146" s="1" t="s">
        <v>55</v>
      </c>
      <c r="C146" s="1" t="s">
        <v>236</v>
      </c>
      <c r="E146" s="1">
        <v>35</v>
      </c>
      <c r="F146" s="1" t="s">
        <v>1968</v>
      </c>
      <c r="H146" s="1" t="s">
        <v>1969</v>
      </c>
      <c r="I146" s="1" t="s">
        <v>11</v>
      </c>
      <c r="J146" s="1" t="s">
        <v>1970</v>
      </c>
      <c r="K146" s="1" t="s">
        <v>1971</v>
      </c>
      <c r="L146" s="1" t="s">
        <v>1970</v>
      </c>
      <c r="O146" s="1">
        <v>1</v>
      </c>
      <c r="P146" s="1" t="s">
        <v>1946</v>
      </c>
      <c r="Q146" s="1">
        <v>2008</v>
      </c>
      <c r="R146" s="1" t="s">
        <v>1746</v>
      </c>
      <c r="S146" s="1" t="s">
        <v>27</v>
      </c>
      <c r="T146" s="6">
        <v>1</v>
      </c>
      <c r="V146" s="1">
        <v>10</v>
      </c>
      <c r="Y146" s="1">
        <v>1.643</v>
      </c>
      <c r="Z146" s="1">
        <v>1.1519999999999999</v>
      </c>
      <c r="AA146" s="1">
        <v>5.9429999999999996</v>
      </c>
      <c r="AF146" s="1">
        <v>4.8920000000000003</v>
      </c>
      <c r="AG146" s="1">
        <v>1.0509999999999999</v>
      </c>
      <c r="AU146" s="1" t="s">
        <v>15</v>
      </c>
      <c r="AW146" s="1">
        <v>5.1999999999999998E-2</v>
      </c>
      <c r="AY146" s="1" t="s">
        <v>15</v>
      </c>
      <c r="BA146" s="1">
        <v>0.90800000000000003</v>
      </c>
      <c r="BG146" s="1">
        <v>0.64100000000000001</v>
      </c>
      <c r="BI146" s="1">
        <v>0.03</v>
      </c>
      <c r="BQ146" s="1" t="s">
        <v>15</v>
      </c>
      <c r="BZ146" s="1">
        <v>0.192</v>
      </c>
      <c r="CI146" s="1">
        <v>0.76800000000000002</v>
      </c>
      <c r="CL146" s="1">
        <v>6.6000000000000003E-2</v>
      </c>
      <c r="CP146" s="1" t="s">
        <v>15</v>
      </c>
      <c r="DK146" s="1">
        <v>0.13800000000000001</v>
      </c>
      <c r="DT146" s="1" t="s">
        <v>15</v>
      </c>
      <c r="ED146" s="1">
        <v>7.0000000000000001E-3</v>
      </c>
      <c r="EF146" s="1">
        <v>0.54</v>
      </c>
      <c r="ET146" s="1">
        <v>0.51300000000000001</v>
      </c>
      <c r="EX146" s="1">
        <v>0.90600000000000003</v>
      </c>
      <c r="FE146" s="1">
        <v>1.508</v>
      </c>
      <c r="FJ146" s="1">
        <v>0.69099999999999995</v>
      </c>
      <c r="FM146" s="1">
        <v>1.64</v>
      </c>
    </row>
    <row r="147" spans="1:169" x14ac:dyDescent="0.2">
      <c r="A147" s="1" t="s">
        <v>1972</v>
      </c>
      <c r="B147" s="1" t="s">
        <v>55</v>
      </c>
      <c r="C147" s="1" t="s">
        <v>236</v>
      </c>
      <c r="E147" s="1">
        <v>37</v>
      </c>
      <c r="F147" s="1" t="s">
        <v>1601</v>
      </c>
      <c r="H147" s="1" t="s">
        <v>1973</v>
      </c>
      <c r="I147" s="1" t="s">
        <v>11</v>
      </c>
      <c r="J147" s="1" t="s">
        <v>1603</v>
      </c>
      <c r="K147" s="1" t="s">
        <v>1604</v>
      </c>
      <c r="L147" s="1" t="s">
        <v>1603</v>
      </c>
      <c r="O147" s="1">
        <v>1</v>
      </c>
      <c r="P147" s="1" t="s">
        <v>1946</v>
      </c>
      <c r="Q147" s="1">
        <v>2008</v>
      </c>
      <c r="R147" s="1" t="s">
        <v>1746</v>
      </c>
      <c r="S147" s="1" t="s">
        <v>27</v>
      </c>
      <c r="T147" s="6">
        <v>1</v>
      </c>
      <c r="V147" s="1">
        <v>17</v>
      </c>
      <c r="Y147" s="1">
        <v>3.2189999999999999</v>
      </c>
      <c r="Z147" s="1">
        <v>1.6579999999999999</v>
      </c>
      <c r="AA147" s="1">
        <v>0.98709999999999998</v>
      </c>
      <c r="AF147" s="1">
        <v>8.0079999999999991</v>
      </c>
      <c r="AG147" s="1">
        <v>1.7949999999999999</v>
      </c>
      <c r="AU147" s="1" t="s">
        <v>15</v>
      </c>
      <c r="AW147" s="1">
        <v>0.318</v>
      </c>
      <c r="AY147" s="1" t="s">
        <v>15</v>
      </c>
      <c r="BA147" s="1">
        <v>1.5249999999999999</v>
      </c>
      <c r="BG147" s="1">
        <v>1.3759999999999999</v>
      </c>
      <c r="BI147" s="1" t="s">
        <v>15</v>
      </c>
      <c r="BQ147" s="1" t="s">
        <v>15</v>
      </c>
      <c r="BZ147" s="1">
        <v>0.29799999999999999</v>
      </c>
      <c r="CI147" s="1">
        <v>1.1599999999999999</v>
      </c>
      <c r="CL147" s="1">
        <v>0.111</v>
      </c>
      <c r="CP147" s="1" t="s">
        <v>15</v>
      </c>
      <c r="DK147" s="1">
        <v>0.23</v>
      </c>
      <c r="DT147" s="1" t="s">
        <v>15</v>
      </c>
      <c r="ED147" s="1" t="s">
        <v>15</v>
      </c>
      <c r="EF147" s="1">
        <v>1.2989999999999999</v>
      </c>
      <c r="ET147" s="1">
        <v>1.149</v>
      </c>
      <c r="EX147" s="1">
        <v>1.5649999999999999</v>
      </c>
      <c r="FE147" s="1">
        <v>2.3290000000000002</v>
      </c>
      <c r="FJ147" s="1">
        <v>0.94799999999999995</v>
      </c>
      <c r="FM147" s="1">
        <v>2.2829999999999999</v>
      </c>
    </row>
    <row r="148" spans="1:169" x14ac:dyDescent="0.2">
      <c r="A148" s="1" t="s">
        <v>1974</v>
      </c>
      <c r="B148" s="1" t="s">
        <v>55</v>
      </c>
      <c r="C148" s="1" t="s">
        <v>236</v>
      </c>
      <c r="E148" s="1">
        <v>23</v>
      </c>
      <c r="F148" s="1" t="s">
        <v>1274</v>
      </c>
      <c r="H148" s="1" t="s">
        <v>1975</v>
      </c>
      <c r="I148" s="1" t="s">
        <v>11</v>
      </c>
      <c r="J148" s="1" t="s">
        <v>1276</v>
      </c>
      <c r="K148" s="1" t="s">
        <v>1277</v>
      </c>
      <c r="L148" s="1" t="s">
        <v>1276</v>
      </c>
      <c r="O148" s="1">
        <v>1</v>
      </c>
      <c r="P148" s="1" t="s">
        <v>1946</v>
      </c>
      <c r="Q148" s="1">
        <v>2008</v>
      </c>
      <c r="R148" s="1" t="s">
        <v>1746</v>
      </c>
      <c r="S148" s="1" t="s">
        <v>27</v>
      </c>
      <c r="T148" s="6">
        <v>1</v>
      </c>
      <c r="V148" s="1">
        <v>9.7899999999999991</v>
      </c>
      <c r="Y148" s="1">
        <v>3.391</v>
      </c>
      <c r="Z148" s="1">
        <v>0.94</v>
      </c>
      <c r="AA148" s="1">
        <v>0.46779999999999999</v>
      </c>
      <c r="AF148" s="1">
        <v>3.99</v>
      </c>
      <c r="AG148" s="1">
        <v>0.68899999999999995</v>
      </c>
      <c r="AU148" s="1" t="s">
        <v>15</v>
      </c>
      <c r="AW148" s="1">
        <v>0.16500000000000001</v>
      </c>
      <c r="AY148" s="1" t="s">
        <v>15</v>
      </c>
      <c r="BA148" s="1">
        <v>1.6120000000000001</v>
      </c>
      <c r="BG148" s="1">
        <v>1.615</v>
      </c>
      <c r="BI148" s="1" t="s">
        <v>15</v>
      </c>
      <c r="BQ148" s="1" t="s">
        <v>15</v>
      </c>
      <c r="BZ148" s="1">
        <v>0.255</v>
      </c>
      <c r="CI148" s="1">
        <v>0.63600000000000001</v>
      </c>
      <c r="CL148" s="1">
        <v>4.9000000000000002E-2</v>
      </c>
      <c r="CP148" s="1" t="s">
        <v>15</v>
      </c>
      <c r="DK148" s="1">
        <v>0.22700000000000001</v>
      </c>
      <c r="DT148" s="1" t="s">
        <v>15</v>
      </c>
      <c r="ED148" s="1" t="s">
        <v>15</v>
      </c>
      <c r="EF148" s="1">
        <v>0.47099999999999997</v>
      </c>
      <c r="ET148" s="1">
        <v>0.317</v>
      </c>
      <c r="EX148" s="1">
        <v>0.46200000000000002</v>
      </c>
      <c r="FE148" s="1">
        <v>0.90200000000000002</v>
      </c>
      <c r="FJ148" s="1">
        <v>0.47099999999999997</v>
      </c>
      <c r="FM148" s="1">
        <v>1.829</v>
      </c>
    </row>
    <row r="149" spans="1:169" x14ac:dyDescent="0.2">
      <c r="A149" s="1" t="s">
        <v>1976</v>
      </c>
      <c r="B149" s="1" t="s">
        <v>55</v>
      </c>
      <c r="C149" s="1" t="s">
        <v>1977</v>
      </c>
      <c r="D149" s="1" t="s">
        <v>2</v>
      </c>
      <c r="E149" s="1">
        <v>33</v>
      </c>
      <c r="F149" s="1" t="s">
        <v>1978</v>
      </c>
      <c r="H149" s="1" t="s">
        <v>1979</v>
      </c>
      <c r="I149" s="1" t="s">
        <v>7</v>
      </c>
      <c r="J149" s="1" t="s">
        <v>1980</v>
      </c>
      <c r="K149" s="1" t="s">
        <v>1981</v>
      </c>
      <c r="L149" s="1" t="s">
        <v>1982</v>
      </c>
      <c r="M149" s="1" t="s">
        <v>1983</v>
      </c>
      <c r="N149" s="1" t="s">
        <v>1984</v>
      </c>
      <c r="P149" s="1" t="s">
        <v>1985</v>
      </c>
      <c r="Q149" s="1">
        <v>2008</v>
      </c>
      <c r="R149" s="1" t="s">
        <v>1986</v>
      </c>
      <c r="S149" s="1" t="s">
        <v>27</v>
      </c>
      <c r="T149" s="6">
        <v>1</v>
      </c>
      <c r="U149" s="1">
        <v>72.89</v>
      </c>
      <c r="W149" s="1">
        <v>4.882511</v>
      </c>
      <c r="Y149" s="1">
        <v>0.75363497592039996</v>
      </c>
      <c r="Z149" s="1">
        <v>1.2954755792168</v>
      </c>
      <c r="AA149" s="1">
        <v>1.1150091242100999</v>
      </c>
      <c r="AD149" s="1">
        <v>0.90371179153513403</v>
      </c>
      <c r="AF149" s="1">
        <v>0.95836953612359999</v>
      </c>
      <c r="AG149" s="1">
        <v>0.1566395880865</v>
      </c>
      <c r="AW149" s="1">
        <v>0.17340664258589999</v>
      </c>
      <c r="AY149" s="1">
        <v>1.3237148289E-2</v>
      </c>
      <c r="BA149" s="1">
        <v>0.46815381115429999</v>
      </c>
      <c r="BD149" s="1">
        <v>1.8532007604600002E-2</v>
      </c>
      <c r="BG149" s="1">
        <v>8.0305366286599997E-2</v>
      </c>
      <c r="BV149" s="1">
        <v>5.7360975919000003E-3</v>
      </c>
      <c r="BZ149" s="1">
        <v>0.2263552357419</v>
      </c>
      <c r="CB149" s="1">
        <v>2.4268105196499998E-2</v>
      </c>
      <c r="CK149" s="1">
        <v>0.62744082889859998</v>
      </c>
      <c r="CV149" s="1">
        <v>0.41167531178790001</v>
      </c>
      <c r="DN149" s="1">
        <v>0.1204580494299</v>
      </c>
      <c r="DT149" s="1">
        <v>1.8973245880899998E-2</v>
      </c>
      <c r="EH149" s="1">
        <v>6.3979550063499993E-2</v>
      </c>
      <c r="EK149" s="1">
        <v>2.2061913815000001E-3</v>
      </c>
      <c r="EX149" s="1">
        <v>1.54433396705E-2</v>
      </c>
      <c r="FE149" s="1">
        <v>0.35387309759259999</v>
      </c>
      <c r="FJ149" s="1">
        <v>0.10722090114089999</v>
      </c>
      <c r="FM149" s="1">
        <v>0.43373722560290001</v>
      </c>
    </row>
    <row r="150" spans="1:169" x14ac:dyDescent="0.2">
      <c r="A150" s="1" t="s">
        <v>1987</v>
      </c>
      <c r="B150" s="1" t="s">
        <v>55</v>
      </c>
      <c r="C150" s="1" t="s">
        <v>1977</v>
      </c>
      <c r="D150" s="1" t="s">
        <v>2</v>
      </c>
      <c r="E150" s="1">
        <v>33</v>
      </c>
      <c r="F150" s="1" t="s">
        <v>1978</v>
      </c>
      <c r="H150" s="1" t="s">
        <v>1979</v>
      </c>
      <c r="I150" s="1" t="s">
        <v>7</v>
      </c>
      <c r="J150" s="1" t="s">
        <v>1980</v>
      </c>
      <c r="K150" s="1" t="s">
        <v>1981</v>
      </c>
      <c r="L150" s="1" t="s">
        <v>1982</v>
      </c>
      <c r="M150" s="1" t="s">
        <v>1983</v>
      </c>
      <c r="N150" s="1" t="s">
        <v>1988</v>
      </c>
      <c r="P150" s="1" t="s">
        <v>1985</v>
      </c>
      <c r="Q150" s="1">
        <v>2008</v>
      </c>
      <c r="R150" s="1" t="s">
        <v>1986</v>
      </c>
      <c r="S150" s="1" t="s">
        <v>27</v>
      </c>
      <c r="T150" s="6">
        <v>1</v>
      </c>
      <c r="U150" s="1">
        <v>74.63</v>
      </c>
      <c r="W150" s="1">
        <v>4.3002149999999997</v>
      </c>
      <c r="Y150" s="1">
        <v>0.67786642424400001</v>
      </c>
      <c r="Z150" s="1">
        <v>1.166920739452</v>
      </c>
      <c r="AA150" s="1">
        <v>0.95876312744100001</v>
      </c>
      <c r="AD150" s="1">
        <v>0.89974584875407404</v>
      </c>
      <c r="AF150" s="1">
        <v>0.82721370721099996</v>
      </c>
      <c r="AG150" s="1">
        <v>0.13154942022999999</v>
      </c>
      <c r="AW150" s="1">
        <v>0.15166874332399999</v>
      </c>
      <c r="AY150" s="1">
        <v>1.04465716065E-2</v>
      </c>
      <c r="BA150" s="1">
        <v>0.43411308675900001</v>
      </c>
      <c r="BD150" s="1">
        <v>1.547640238E-2</v>
      </c>
      <c r="BG150" s="1">
        <v>6.5387800055500003E-2</v>
      </c>
      <c r="BV150" s="1">
        <v>6.5774710115000003E-3</v>
      </c>
      <c r="BZ150" s="1">
        <v>0.18919901909549999</v>
      </c>
      <c r="CB150" s="1">
        <v>1.9345502975000001E-2</v>
      </c>
      <c r="CK150" s="1">
        <v>0.57843053895249996</v>
      </c>
      <c r="CV150" s="1">
        <v>0.37259438729849997</v>
      </c>
      <c r="DN150" s="1">
        <v>0.101370435589</v>
      </c>
      <c r="DT150" s="1">
        <v>1.58633124395E-2</v>
      </c>
      <c r="EH150" s="1">
        <v>5.8810329044E-2</v>
      </c>
      <c r="EK150" s="1">
        <v>1.1607301784999999E-3</v>
      </c>
      <c r="EX150" s="1">
        <v>1.3154942023000001E-2</v>
      </c>
      <c r="FE150" s="1">
        <v>0.30681967718350001</v>
      </c>
      <c r="FJ150" s="1">
        <v>8.55071231495E-2</v>
      </c>
      <c r="FM150" s="1">
        <v>0.376076577834</v>
      </c>
    </row>
    <row r="151" spans="1:169" x14ac:dyDescent="0.2">
      <c r="A151" s="1" t="s">
        <v>1989</v>
      </c>
      <c r="B151" s="1" t="s">
        <v>55</v>
      </c>
      <c r="C151" s="1" t="s">
        <v>1990</v>
      </c>
      <c r="E151" s="1">
        <v>36</v>
      </c>
      <c r="F151" s="1" t="s">
        <v>1991</v>
      </c>
      <c r="G151" s="1" t="s">
        <v>1992</v>
      </c>
      <c r="H151" s="1" t="s">
        <v>1993</v>
      </c>
      <c r="I151" s="1" t="s">
        <v>7</v>
      </c>
      <c r="J151" s="1" t="s">
        <v>1994</v>
      </c>
      <c r="K151" s="1" t="s">
        <v>1995</v>
      </c>
      <c r="L151" s="1" t="s">
        <v>1996</v>
      </c>
      <c r="P151" s="1" t="s">
        <v>1270</v>
      </c>
      <c r="Q151" s="1">
        <v>2001</v>
      </c>
      <c r="R151" s="1" t="s">
        <v>1997</v>
      </c>
      <c r="S151" s="1" t="s">
        <v>27</v>
      </c>
      <c r="T151" s="6">
        <v>1</v>
      </c>
      <c r="V151" s="1">
        <v>1.46</v>
      </c>
      <c r="Y151" s="1">
        <v>7.7905602000000004E-2</v>
      </c>
      <c r="Z151" s="1">
        <v>4.9742544E-2</v>
      </c>
      <c r="AB151" s="1">
        <v>0.39928144999999998</v>
      </c>
      <c r="AD151" s="1">
        <v>0.83505479452054798</v>
      </c>
      <c r="AF151" s="1">
        <v>0.52290630199999999</v>
      </c>
      <c r="AG151" s="1">
        <v>0.13532897999999999</v>
      </c>
      <c r="AW151" s="1">
        <v>1.4142488E-2</v>
      </c>
      <c r="BA151" s="1">
        <v>2.8284976E-2</v>
      </c>
      <c r="BD151" s="1">
        <v>7.071244E-3</v>
      </c>
      <c r="BG151" s="1">
        <v>1.0728784E-2</v>
      </c>
      <c r="BI151" s="1">
        <v>3.535622E-3</v>
      </c>
      <c r="BK151" s="1">
        <v>7.071244E-3</v>
      </c>
      <c r="BL151" s="1">
        <v>3.535622E-3</v>
      </c>
      <c r="BM151" s="1">
        <v>3.535622E-3</v>
      </c>
      <c r="CA151" s="1">
        <v>1.4142488E-2</v>
      </c>
      <c r="CQ151" s="1">
        <v>2.4993189999999998E-2</v>
      </c>
      <c r="CZ151" s="1">
        <v>7.071244E-3</v>
      </c>
      <c r="DD151" s="1">
        <v>3.535622E-3</v>
      </c>
      <c r="DJ151" s="1">
        <v>0.24993190000000001</v>
      </c>
      <c r="DN151" s="1">
        <v>0.11765087</v>
      </c>
      <c r="DR151" s="1">
        <v>0.106922086</v>
      </c>
      <c r="EA151" s="1">
        <v>5.7057624000000001E-2</v>
      </c>
      <c r="ED151" s="1">
        <v>7.071244E-3</v>
      </c>
      <c r="EE151" s="1">
        <v>1.0728784E-2</v>
      </c>
      <c r="EH151" s="1">
        <v>7.071244E-3</v>
      </c>
      <c r="EK151" s="1">
        <v>3.535622E-3</v>
      </c>
      <c r="EL151" s="1">
        <v>3.9257595999999999E-2</v>
      </c>
      <c r="EQ151" s="1">
        <v>7.071244E-3</v>
      </c>
      <c r="ER151" s="1">
        <v>2.8528812000000001E-2</v>
      </c>
      <c r="ET151" s="1">
        <v>3.535622E-3</v>
      </c>
      <c r="EU151" s="1">
        <v>3.535622E-3</v>
      </c>
      <c r="EX151" s="1">
        <v>3.535622E-3</v>
      </c>
      <c r="EY151" s="1">
        <v>3.535622E-3</v>
      </c>
      <c r="FE151" s="1">
        <v>7.1322029999999995E-2</v>
      </c>
      <c r="FG151" s="1">
        <v>3.535622E-3</v>
      </c>
      <c r="FI151" s="1">
        <v>3.535622E-3</v>
      </c>
      <c r="FJ151" s="1">
        <v>4.6328840000000003E-2</v>
      </c>
      <c r="FM151" s="1">
        <v>0.28406893999999999</v>
      </c>
    </row>
    <row r="152" spans="1:169" x14ac:dyDescent="0.2">
      <c r="A152" s="1" t="s">
        <v>1998</v>
      </c>
      <c r="B152" s="1" t="s">
        <v>55</v>
      </c>
      <c r="C152" s="1" t="s">
        <v>1990</v>
      </c>
      <c r="E152" s="1">
        <v>38</v>
      </c>
      <c r="F152" s="1" t="s">
        <v>1999</v>
      </c>
      <c r="G152" s="1" t="s">
        <v>2000</v>
      </c>
      <c r="H152" s="1" t="s">
        <v>2001</v>
      </c>
      <c r="I152" s="1" t="s">
        <v>7</v>
      </c>
      <c r="J152" s="1" t="s">
        <v>2002</v>
      </c>
      <c r="K152" s="1" t="s">
        <v>2003</v>
      </c>
      <c r="L152" s="1" t="s">
        <v>2002</v>
      </c>
      <c r="P152" s="1" t="s">
        <v>1270</v>
      </c>
      <c r="Q152" s="1">
        <v>2001</v>
      </c>
      <c r="R152" s="1" t="s">
        <v>1997</v>
      </c>
      <c r="S152" s="1" t="s">
        <v>27</v>
      </c>
      <c r="T152" s="6">
        <v>1</v>
      </c>
      <c r="V152" s="1">
        <v>1.95</v>
      </c>
      <c r="Y152" s="1">
        <v>6.0851505E-2</v>
      </c>
      <c r="Z152" s="1">
        <v>6.5042379999999997E-2</v>
      </c>
      <c r="AB152" s="1">
        <v>0.57901128999999996</v>
      </c>
      <c r="AD152" s="1">
        <v>0.85966666666666702</v>
      </c>
      <c r="AF152" s="1">
        <v>0.65260305500000004</v>
      </c>
      <c r="AG152" s="1">
        <v>0.30274880999999998</v>
      </c>
      <c r="AW152" s="1">
        <v>1.307553E-2</v>
      </c>
      <c r="BA152" s="1">
        <v>2.1624915000000001E-2</v>
      </c>
      <c r="BD152" s="1">
        <v>4.3585100000000003E-3</v>
      </c>
      <c r="BG152" s="1">
        <v>8.7170200000000007E-3</v>
      </c>
      <c r="BI152" s="1">
        <v>4.3585100000000003E-3</v>
      </c>
      <c r="BK152" s="1">
        <v>4.3585100000000003E-3</v>
      </c>
      <c r="BM152" s="1">
        <v>4.3585100000000003E-3</v>
      </c>
      <c r="CA152" s="1">
        <v>1.7434040000000001E-2</v>
      </c>
      <c r="CQ152" s="1">
        <v>3.4532809999999997E-2</v>
      </c>
      <c r="CZ152" s="1">
        <v>4.3585100000000003E-3</v>
      </c>
      <c r="DD152" s="1">
        <v>8.7170200000000007E-3</v>
      </c>
      <c r="DH152" s="1">
        <v>4.3585100000000003E-3</v>
      </c>
      <c r="DJ152" s="1">
        <v>0.38455468999999998</v>
      </c>
      <c r="DN152" s="1">
        <v>0.20786740000000001</v>
      </c>
      <c r="DR152" s="1">
        <v>0.15992379000000001</v>
      </c>
      <c r="DT152" s="1">
        <v>4.3585100000000003E-3</v>
      </c>
      <c r="EA152" s="1">
        <v>9.5049044999999999E-2</v>
      </c>
      <c r="ED152" s="1">
        <v>2.5983425000000001E-2</v>
      </c>
      <c r="EH152" s="1">
        <v>8.7170200000000007E-3</v>
      </c>
      <c r="EK152" s="1">
        <v>4.3585100000000003E-3</v>
      </c>
      <c r="EL152" s="1">
        <v>0.12103247</v>
      </c>
      <c r="ER152" s="1">
        <v>3.0174300000000001E-2</v>
      </c>
      <c r="ET152" s="1">
        <v>4.3585100000000003E-3</v>
      </c>
      <c r="EU152" s="1">
        <v>4.3585100000000003E-3</v>
      </c>
      <c r="EX152" s="1">
        <v>4.3585100000000003E-3</v>
      </c>
      <c r="EY152" s="1">
        <v>4.3585100000000003E-3</v>
      </c>
      <c r="FA152" s="1">
        <v>8.7170200000000007E-3</v>
      </c>
      <c r="FE152" s="1">
        <v>8.6332025000000007E-2</v>
      </c>
      <c r="FI152" s="1">
        <v>4.3249830000000003E-2</v>
      </c>
      <c r="FJ152" s="1">
        <v>3.889132E-2</v>
      </c>
      <c r="FM152" s="1">
        <v>0.29336125000000002</v>
      </c>
    </row>
    <row r="153" spans="1:169" x14ac:dyDescent="0.2">
      <c r="A153" s="1" t="s">
        <v>2004</v>
      </c>
      <c r="B153" s="1" t="s">
        <v>55</v>
      </c>
      <c r="C153" s="1" t="s">
        <v>1990</v>
      </c>
      <c r="E153" s="1">
        <v>33</v>
      </c>
      <c r="F153" s="1" t="s">
        <v>2005</v>
      </c>
      <c r="G153" s="1" t="s">
        <v>2006</v>
      </c>
      <c r="H153" s="1" t="s">
        <v>2007</v>
      </c>
      <c r="I153" s="1" t="s">
        <v>7</v>
      </c>
      <c r="J153" s="1" t="s">
        <v>2008</v>
      </c>
      <c r="K153" s="1" t="s">
        <v>2009</v>
      </c>
      <c r="L153" s="1" t="s">
        <v>2008</v>
      </c>
      <c r="P153" s="1" t="s">
        <v>1270</v>
      </c>
      <c r="Q153" s="1">
        <v>2001</v>
      </c>
      <c r="R153" s="1" t="s">
        <v>1997</v>
      </c>
      <c r="S153" s="1" t="s">
        <v>27</v>
      </c>
      <c r="T153" s="6">
        <v>1</v>
      </c>
      <c r="V153" s="1">
        <v>2.2400000000000002</v>
      </c>
      <c r="Y153" s="1">
        <v>0.158479288</v>
      </c>
      <c r="Z153" s="1">
        <v>3.8549015999999998E-2</v>
      </c>
      <c r="AB153" s="1">
        <v>0.77876800000000002</v>
      </c>
      <c r="AD153" s="1">
        <v>0.86916071428571395</v>
      </c>
      <c r="AF153" s="1">
        <v>0.57765116400000005</v>
      </c>
      <c r="AG153" s="1">
        <v>0.38510077599999998</v>
      </c>
      <c r="AW153" s="1">
        <v>4.7115464000000003E-2</v>
      </c>
      <c r="BA153" s="1">
        <v>5.9965136000000002E-2</v>
      </c>
      <c r="BD153" s="1">
        <v>8.5664480000000008E-3</v>
      </c>
      <c r="BG153" s="1">
        <v>2.141612E-2</v>
      </c>
      <c r="BI153" s="1">
        <v>4.2832240000000004E-3</v>
      </c>
      <c r="BK153" s="1">
        <v>4.2832240000000004E-3</v>
      </c>
      <c r="BL153" s="1">
        <v>4.2832240000000004E-3</v>
      </c>
      <c r="BM153" s="1">
        <v>8.5664480000000008E-3</v>
      </c>
      <c r="CA153" s="1">
        <v>8.5664480000000008E-3</v>
      </c>
      <c r="CQ153" s="1">
        <v>1.7132896000000002E-2</v>
      </c>
      <c r="CZ153" s="1">
        <v>4.2832240000000004E-3</v>
      </c>
      <c r="DD153" s="1">
        <v>8.5664480000000008E-3</v>
      </c>
      <c r="DN153" s="1">
        <v>0.35044560000000002</v>
      </c>
      <c r="DR153" s="1">
        <v>0.17113426800000001</v>
      </c>
      <c r="DT153" s="1">
        <v>4.2832240000000004E-3</v>
      </c>
      <c r="DZ153" s="1">
        <v>0.55623504400000001</v>
      </c>
      <c r="EA153" s="1">
        <v>0.158284596</v>
      </c>
      <c r="ED153" s="1">
        <v>1.2849671999999999E-2</v>
      </c>
      <c r="EE153" s="1">
        <v>4.2832240000000004E-3</v>
      </c>
      <c r="EH153" s="1">
        <v>8.5664480000000008E-3</v>
      </c>
      <c r="EK153" s="1">
        <v>4.2832240000000004E-3</v>
      </c>
      <c r="EL153" s="1">
        <v>6.8531584000000006E-2</v>
      </c>
      <c r="EQ153" s="1">
        <v>8.5664480000000008E-3</v>
      </c>
      <c r="ER153" s="1">
        <v>4.2832240000000001E-2</v>
      </c>
      <c r="ET153" s="1">
        <v>4.2832240000000004E-3</v>
      </c>
      <c r="EU153" s="1">
        <v>4.2832240000000004E-3</v>
      </c>
      <c r="EX153" s="1">
        <v>4.2832240000000004E-3</v>
      </c>
      <c r="EY153" s="1">
        <v>4.2832240000000004E-3</v>
      </c>
      <c r="FE153" s="1">
        <v>0.11545235600000001</v>
      </c>
      <c r="FI153" s="1">
        <v>8.5664480000000008E-3</v>
      </c>
      <c r="FJ153" s="1">
        <v>1.7132896000000002E-2</v>
      </c>
      <c r="FM153" s="1">
        <v>0.19255038799999999</v>
      </c>
    </row>
    <row r="154" spans="1:169" x14ac:dyDescent="0.2">
      <c r="A154" s="1" t="s">
        <v>2010</v>
      </c>
      <c r="B154" s="1" t="s">
        <v>55</v>
      </c>
      <c r="C154" s="1" t="s">
        <v>1990</v>
      </c>
      <c r="E154" s="1">
        <v>33</v>
      </c>
      <c r="F154" s="1" t="s">
        <v>2011</v>
      </c>
      <c r="G154" s="1" t="s">
        <v>2012</v>
      </c>
      <c r="H154" s="1" t="s">
        <v>2013</v>
      </c>
      <c r="I154" s="1" t="s">
        <v>7</v>
      </c>
      <c r="J154" s="1" t="s">
        <v>2014</v>
      </c>
      <c r="K154" s="1" t="s">
        <v>2015</v>
      </c>
      <c r="L154" s="1" t="s">
        <v>2014</v>
      </c>
      <c r="P154" s="1" t="s">
        <v>1270</v>
      </c>
      <c r="Q154" s="1">
        <v>2001</v>
      </c>
      <c r="R154" s="1" t="s">
        <v>1997</v>
      </c>
      <c r="S154" s="1" t="s">
        <v>27</v>
      </c>
      <c r="T154" s="6">
        <v>1</v>
      </c>
      <c r="V154" s="1">
        <v>2.79</v>
      </c>
      <c r="Y154" s="1">
        <v>0.24945109800000001</v>
      </c>
      <c r="Z154" s="1">
        <v>3.3702958999999998E-2</v>
      </c>
      <c r="AB154" s="1">
        <v>0.83666980700000004</v>
      </c>
      <c r="AD154" s="1">
        <v>0.88174551971326198</v>
      </c>
      <c r="AF154" s="1">
        <v>0.78722239999999999</v>
      </c>
      <c r="AG154" s="1">
        <v>0.44182857199999997</v>
      </c>
      <c r="AW154" s="1">
        <v>6.1009736000000002E-2</v>
      </c>
      <c r="BA154" s="1">
        <v>8.3150366000000003E-2</v>
      </c>
      <c r="BD154" s="1">
        <v>2.2140630000000001E-2</v>
      </c>
      <c r="BG154" s="1">
        <v>3.3210944999999999E-2</v>
      </c>
      <c r="BI154" s="1">
        <v>1.6728475999999999E-2</v>
      </c>
      <c r="BK154" s="1">
        <v>1.1070315000000001E-2</v>
      </c>
      <c r="BL154" s="1">
        <v>1.1070315000000001E-2</v>
      </c>
      <c r="BM154" s="1">
        <v>1.1070315000000001E-2</v>
      </c>
      <c r="CA154" s="1">
        <v>5.6581610000000001E-3</v>
      </c>
      <c r="CQ154" s="1">
        <v>1.6728475999999999E-2</v>
      </c>
      <c r="CZ154" s="1">
        <v>5.6581610000000001E-3</v>
      </c>
      <c r="DD154" s="1">
        <v>5.6581610000000001E-3</v>
      </c>
      <c r="DH154" s="1">
        <v>1.1070315000000001E-2</v>
      </c>
      <c r="DJ154" s="1">
        <v>0.45511295000000002</v>
      </c>
      <c r="DN154" s="1">
        <v>0.32472923999999997</v>
      </c>
      <c r="DR154" s="1">
        <v>0.25584728000000001</v>
      </c>
      <c r="DT154" s="1">
        <v>1.6728475999999999E-2</v>
      </c>
      <c r="EA154" s="1">
        <v>0.18278320100000001</v>
      </c>
      <c r="ED154" s="1">
        <v>1.6728475999999999E-2</v>
      </c>
      <c r="EE154" s="1">
        <v>1.1070315000000001E-2</v>
      </c>
      <c r="EH154" s="1">
        <v>1.6728475999999999E-2</v>
      </c>
      <c r="EK154" s="1">
        <v>1.1070315000000001E-2</v>
      </c>
      <c r="EL154" s="1">
        <v>9.9632835000000003E-2</v>
      </c>
      <c r="EQ154" s="1">
        <v>5.6581610000000001E-3</v>
      </c>
      <c r="ER154" s="1">
        <v>0.116361311</v>
      </c>
      <c r="ET154" s="1">
        <v>1.1070315000000001E-2</v>
      </c>
      <c r="EX154" s="1">
        <v>1.6728475999999999E-2</v>
      </c>
      <c r="EY154" s="1">
        <v>5.6581610000000001E-3</v>
      </c>
      <c r="FE154" s="1">
        <v>0.16630073200000001</v>
      </c>
      <c r="FG154" s="1">
        <v>5.6581610000000001E-3</v>
      </c>
      <c r="FI154" s="1">
        <v>4.4281260000000003E-2</v>
      </c>
      <c r="FJ154" s="1">
        <v>3.8869106E-2</v>
      </c>
      <c r="FM154" s="1">
        <v>0.25584728000000001</v>
      </c>
    </row>
    <row r="155" spans="1:169" x14ac:dyDescent="0.2">
      <c r="A155" s="1" t="s">
        <v>2016</v>
      </c>
      <c r="B155" s="1" t="s">
        <v>55</v>
      </c>
      <c r="C155" s="1" t="s">
        <v>1990</v>
      </c>
      <c r="E155" s="1">
        <v>37</v>
      </c>
      <c r="F155" s="1" t="s">
        <v>2017</v>
      </c>
      <c r="G155" s="1" t="s">
        <v>2018</v>
      </c>
      <c r="H155" s="1" t="s">
        <v>2019</v>
      </c>
      <c r="I155" s="1" t="s">
        <v>7</v>
      </c>
      <c r="J155" s="1" t="s">
        <v>2020</v>
      </c>
      <c r="K155" s="1" t="s">
        <v>2021</v>
      </c>
      <c r="L155" s="1" t="s">
        <v>2020</v>
      </c>
      <c r="P155" s="1" t="s">
        <v>1270</v>
      </c>
      <c r="Q155" s="1">
        <v>2001</v>
      </c>
      <c r="R155" s="1" t="s">
        <v>1997</v>
      </c>
      <c r="S155" s="1" t="s">
        <v>27</v>
      </c>
      <c r="T155" s="6">
        <v>1</v>
      </c>
      <c r="V155" s="1">
        <v>2.79</v>
      </c>
      <c r="Y155" s="1">
        <v>0.28020197299999999</v>
      </c>
      <c r="Z155" s="1">
        <v>8.9546548000000004E-2</v>
      </c>
      <c r="AB155" s="1">
        <v>0.75204339899999995</v>
      </c>
      <c r="AD155" s="1">
        <v>0.88174551971326198</v>
      </c>
      <c r="AF155" s="1">
        <v>0.74982933600000001</v>
      </c>
      <c r="AG155" s="1">
        <v>0.33161743599999999</v>
      </c>
      <c r="AW155" s="1">
        <v>5.0923449000000003E-2</v>
      </c>
      <c r="BA155" s="1">
        <v>0.11463926200000001</v>
      </c>
      <c r="BD155" s="1">
        <v>1.2792364000000001E-2</v>
      </c>
      <c r="BG155" s="1">
        <v>3.8377092000000002E-2</v>
      </c>
      <c r="BI155" s="1">
        <v>1.2792364000000001E-2</v>
      </c>
      <c r="BK155" s="1">
        <v>1.2792364000000001E-2</v>
      </c>
      <c r="BL155" s="1">
        <v>1.2792364000000001E-2</v>
      </c>
      <c r="BM155" s="1">
        <v>2.5584728000000001E-2</v>
      </c>
      <c r="CA155" s="1">
        <v>1.2792364000000001E-2</v>
      </c>
      <c r="CQ155" s="1">
        <v>3.8377092000000002E-2</v>
      </c>
      <c r="CZ155" s="1">
        <v>2.5584728000000001E-2</v>
      </c>
      <c r="DD155" s="1">
        <v>1.2792364000000001E-2</v>
      </c>
      <c r="DJ155" s="1">
        <v>0.44527266999999998</v>
      </c>
      <c r="DN155" s="1">
        <v>0.24207088800000001</v>
      </c>
      <c r="DR155" s="1">
        <v>0.229524531</v>
      </c>
      <c r="DT155" s="1">
        <v>6.3961820000000003E-3</v>
      </c>
      <c r="DZ155" s="1">
        <v>1.2792364000000001E-2</v>
      </c>
      <c r="EA155" s="1">
        <v>0.102092905</v>
      </c>
      <c r="ED155" s="1">
        <v>2.5584728000000001E-2</v>
      </c>
      <c r="EH155" s="1">
        <v>0.111195164</v>
      </c>
      <c r="EK155" s="1">
        <v>1.9188546000000001E-2</v>
      </c>
      <c r="EL155" s="1">
        <v>3.8377092000000002E-2</v>
      </c>
      <c r="EQ155" s="1">
        <v>3.8377092000000002E-2</v>
      </c>
      <c r="ER155" s="1">
        <v>6.3715812999999996E-2</v>
      </c>
      <c r="ET155" s="1">
        <v>1.2792364000000001E-2</v>
      </c>
      <c r="EX155" s="1">
        <v>1.2792364000000001E-2</v>
      </c>
      <c r="EY155" s="1">
        <v>1.2792364000000001E-2</v>
      </c>
      <c r="FA155" s="1">
        <v>6.3961820000000003E-3</v>
      </c>
      <c r="FE155" s="1">
        <v>0.12743162599999999</v>
      </c>
      <c r="FI155" s="1">
        <v>1.9188546000000001E-2</v>
      </c>
      <c r="FJ155" s="1">
        <v>7.6508176999999997E-2</v>
      </c>
      <c r="FM155" s="1">
        <v>0.23026255200000001</v>
      </c>
    </row>
    <row r="156" spans="1:169" x14ac:dyDescent="0.2">
      <c r="A156" s="1" t="s">
        <v>2022</v>
      </c>
      <c r="B156" s="1" t="s">
        <v>55</v>
      </c>
      <c r="C156" s="1" t="s">
        <v>1990</v>
      </c>
      <c r="E156" s="1">
        <v>37</v>
      </c>
      <c r="F156" s="1" t="s">
        <v>2023</v>
      </c>
      <c r="G156" s="1" t="s">
        <v>2024</v>
      </c>
      <c r="H156" s="1" t="s">
        <v>2025</v>
      </c>
      <c r="I156" s="1" t="s">
        <v>7</v>
      </c>
      <c r="J156" s="1" t="s">
        <v>2026</v>
      </c>
      <c r="K156" s="1" t="s">
        <v>2027</v>
      </c>
      <c r="L156" s="1" t="s">
        <v>2026</v>
      </c>
      <c r="P156" s="1" t="s">
        <v>1270</v>
      </c>
      <c r="Q156" s="1">
        <v>2001</v>
      </c>
      <c r="R156" s="1" t="s">
        <v>1997</v>
      </c>
      <c r="S156" s="1" t="s">
        <v>27</v>
      </c>
      <c r="T156" s="6">
        <v>1</v>
      </c>
      <c r="V156" s="1">
        <v>2.91</v>
      </c>
      <c r="Y156" s="1">
        <v>0.23585515100000001</v>
      </c>
      <c r="Z156" s="1">
        <v>9.3621891999999998E-2</v>
      </c>
      <c r="AB156" s="1">
        <v>0.93441849899999996</v>
      </c>
      <c r="AD156" s="1">
        <v>0.88385910652920996</v>
      </c>
      <c r="AF156" s="1">
        <v>0.81610511900000005</v>
      </c>
      <c r="AG156" s="1">
        <v>0.34619523800000002</v>
      </c>
      <c r="AW156" s="1">
        <v>4.1924088999999998E-2</v>
      </c>
      <c r="BA156" s="1">
        <v>0.120628207</v>
      </c>
      <c r="BD156" s="1">
        <v>1.5689383000000001E-2</v>
      </c>
      <c r="BG156" s="1">
        <v>3.6780028999999999E-2</v>
      </c>
      <c r="BI156" s="1">
        <v>5.1440599999999998E-3</v>
      </c>
      <c r="BK156" s="1">
        <v>1.5689383000000001E-2</v>
      </c>
      <c r="CA156" s="1">
        <v>3.1635969E-2</v>
      </c>
      <c r="CQ156" s="1">
        <v>3.1635969E-2</v>
      </c>
      <c r="CZ156" s="1">
        <v>5.1440599999999998E-3</v>
      </c>
      <c r="DD156" s="1">
        <v>1.5689383000000001E-2</v>
      </c>
      <c r="DH156" s="1">
        <v>5.1440599999999998E-3</v>
      </c>
      <c r="DJ156" s="1">
        <v>0.64043547000000001</v>
      </c>
      <c r="DN156" s="1">
        <v>0.30864360000000002</v>
      </c>
      <c r="DR156" s="1">
        <v>0.23096829399999999</v>
      </c>
      <c r="EA156" s="1">
        <v>0.183642942</v>
      </c>
      <c r="ED156" s="1">
        <v>2.1090646000000001E-2</v>
      </c>
      <c r="EH156" s="1">
        <v>1.5689383000000001E-2</v>
      </c>
      <c r="EK156" s="1">
        <v>5.1440599999999998E-3</v>
      </c>
      <c r="EL156" s="1">
        <v>1.5689383000000001E-2</v>
      </c>
      <c r="ER156" s="1">
        <v>6.3014735000000002E-2</v>
      </c>
      <c r="ET156" s="1">
        <v>1.5689383000000001E-2</v>
      </c>
      <c r="EX156" s="1">
        <v>1.543218E-2</v>
      </c>
      <c r="EY156" s="1">
        <v>1.5689383000000001E-2</v>
      </c>
      <c r="FE156" s="1">
        <v>2.1090646000000001E-2</v>
      </c>
      <c r="FI156" s="1">
        <v>5.1440599999999998E-3</v>
      </c>
      <c r="FJ156" s="1">
        <v>6.3271938E-2</v>
      </c>
      <c r="FM156" s="1">
        <v>0.48611367</v>
      </c>
    </row>
    <row r="157" spans="1:169" x14ac:dyDescent="0.2">
      <c r="A157" s="1" t="s">
        <v>2028</v>
      </c>
      <c r="B157" s="1" t="s">
        <v>55</v>
      </c>
      <c r="C157" s="1" t="s">
        <v>1990</v>
      </c>
      <c r="E157" s="1">
        <v>35</v>
      </c>
      <c r="F157" s="1" t="s">
        <v>2029</v>
      </c>
      <c r="G157" s="1" t="s">
        <v>2030</v>
      </c>
      <c r="H157" s="1" t="s">
        <v>2031</v>
      </c>
      <c r="I157" s="1" t="s">
        <v>7</v>
      </c>
      <c r="J157" s="1" t="s">
        <v>2032</v>
      </c>
      <c r="K157" s="1" t="s">
        <v>2033</v>
      </c>
      <c r="L157" s="1" t="s">
        <v>2034</v>
      </c>
      <c r="P157" s="1" t="s">
        <v>1270</v>
      </c>
      <c r="Q157" s="1">
        <v>2001</v>
      </c>
      <c r="R157" s="1" t="s">
        <v>1997</v>
      </c>
      <c r="S157" s="1" t="s">
        <v>27</v>
      </c>
      <c r="T157" s="6">
        <v>1</v>
      </c>
      <c r="V157" s="1">
        <v>3.06</v>
      </c>
      <c r="Y157" s="1">
        <v>0.26794362399999999</v>
      </c>
      <c r="Z157" s="1">
        <v>0.247332576</v>
      </c>
      <c r="AB157" s="1">
        <v>0.94973539600000001</v>
      </c>
      <c r="AD157" s="1">
        <v>0.88626797385620903</v>
      </c>
      <c r="AF157" s="1">
        <v>0.83691702800000001</v>
      </c>
      <c r="AG157" s="1">
        <v>0.29858899799999999</v>
      </c>
      <c r="AW157" s="1">
        <v>4.1222096E-2</v>
      </c>
      <c r="BA157" s="1">
        <v>0.11851352599999999</v>
      </c>
      <c r="BD157" s="1">
        <v>2.0611048E-2</v>
      </c>
      <c r="BG157" s="1">
        <v>3.6069334000000002E-2</v>
      </c>
      <c r="BI157" s="1">
        <v>2.0611048E-2</v>
      </c>
      <c r="BK157" s="1">
        <v>2.0611048E-2</v>
      </c>
      <c r="BL157" s="1">
        <v>1.0305524E-2</v>
      </c>
      <c r="CA157" s="1">
        <v>7.7291429999999994E-2</v>
      </c>
      <c r="CQ157" s="1">
        <v>0.10305524000000001</v>
      </c>
      <c r="CZ157" s="1">
        <v>2.5763810000000002E-2</v>
      </c>
      <c r="DD157" s="1">
        <v>4.1222096E-2</v>
      </c>
      <c r="DJ157" s="1">
        <v>0.63460331999999997</v>
      </c>
      <c r="DN157" s="1">
        <v>0.23702705199999999</v>
      </c>
      <c r="DR157" s="1">
        <v>0.16543078</v>
      </c>
      <c r="DZ157" s="1">
        <v>1.0305524E-2</v>
      </c>
      <c r="EA157" s="1">
        <v>0.112818368</v>
      </c>
      <c r="ED157" s="1">
        <v>3.5798136000000001E-2</v>
      </c>
      <c r="EE157" s="1">
        <v>5.1527620000000003E-2</v>
      </c>
      <c r="EH157" s="1">
        <v>3.5798136000000001E-2</v>
      </c>
      <c r="EK157" s="1">
        <v>5.152762E-3</v>
      </c>
      <c r="EL157" s="1">
        <v>5.1256422000000003E-2</v>
      </c>
      <c r="EQ157" s="1">
        <v>5.152762E-3</v>
      </c>
      <c r="ER157" s="1">
        <v>7.7020231999999994E-2</v>
      </c>
      <c r="ET157" s="1">
        <v>5.152762E-3</v>
      </c>
      <c r="EU157" s="1">
        <v>1.0305524E-2</v>
      </c>
      <c r="EX157" s="1">
        <v>5.152762E-3</v>
      </c>
      <c r="EY157" s="1">
        <v>5.152762E-3</v>
      </c>
      <c r="FA157" s="1">
        <v>5.152762E-3</v>
      </c>
      <c r="FE157" s="1">
        <v>0.11797112999999999</v>
      </c>
      <c r="FG157" s="1">
        <v>1.0305524E-2</v>
      </c>
      <c r="FI157" s="1">
        <v>1.0305524E-2</v>
      </c>
      <c r="FJ157" s="1">
        <v>2.4136622E-2</v>
      </c>
      <c r="FM157" s="1">
        <v>0.46917254000000003</v>
      </c>
    </row>
    <row r="158" spans="1:169" x14ac:dyDescent="0.2">
      <c r="A158" s="1" t="s">
        <v>2035</v>
      </c>
      <c r="B158" s="1" t="s">
        <v>55</v>
      </c>
      <c r="C158" s="1" t="s">
        <v>1990</v>
      </c>
      <c r="E158" s="1">
        <v>37</v>
      </c>
      <c r="F158" s="1" t="s">
        <v>2036</v>
      </c>
      <c r="G158" s="1" t="s">
        <v>2037</v>
      </c>
      <c r="H158" s="1" t="s">
        <v>2038</v>
      </c>
      <c r="I158" s="1" t="s">
        <v>7</v>
      </c>
      <c r="J158" s="1" t="s">
        <v>2039</v>
      </c>
      <c r="K158" s="1" t="s">
        <v>2040</v>
      </c>
      <c r="L158" s="1" t="s">
        <v>2041</v>
      </c>
      <c r="P158" s="1" t="s">
        <v>1270</v>
      </c>
      <c r="Q158" s="1">
        <v>2001</v>
      </c>
      <c r="R158" s="1" t="s">
        <v>1997</v>
      </c>
      <c r="S158" s="1" t="s">
        <v>27</v>
      </c>
      <c r="T158" s="6">
        <v>1</v>
      </c>
      <c r="V158" s="1">
        <v>3.08</v>
      </c>
      <c r="Y158" s="1">
        <v>0.25804547999999999</v>
      </c>
      <c r="Z158" s="1">
        <v>9.8303039999999994E-2</v>
      </c>
      <c r="AB158" s="1">
        <v>0.75693340799999997</v>
      </c>
      <c r="AD158" s="1">
        <v>0.88657142857142901</v>
      </c>
      <c r="AF158" s="1">
        <v>1.307703496</v>
      </c>
      <c r="AG158" s="1">
        <v>0.30747006399999999</v>
      </c>
      <c r="AW158" s="1">
        <v>3.6863640000000003E-2</v>
      </c>
      <c r="BA158" s="1">
        <v>8.6015159999999993E-2</v>
      </c>
      <c r="BD158" s="1">
        <v>1.2287879999999999E-2</v>
      </c>
      <c r="BG158" s="1">
        <v>4.9151519999999997E-2</v>
      </c>
      <c r="BI158" s="1">
        <v>1.2287879999999999E-2</v>
      </c>
      <c r="BK158" s="1">
        <v>2.4575759999999999E-2</v>
      </c>
      <c r="BL158" s="1">
        <v>2.4575759999999999E-2</v>
      </c>
      <c r="BM158" s="1">
        <v>1.2287879999999999E-2</v>
      </c>
      <c r="CA158" s="1">
        <v>2.4575759999999999E-2</v>
      </c>
      <c r="CQ158" s="1">
        <v>3.6863640000000003E-2</v>
      </c>
      <c r="CZ158" s="1">
        <v>2.4575759999999999E-2</v>
      </c>
      <c r="DD158" s="1">
        <v>1.2287879999999999E-2</v>
      </c>
      <c r="DJ158" s="1">
        <v>0.40686536000000001</v>
      </c>
      <c r="DN158" s="1">
        <v>0.20916702400000001</v>
      </c>
      <c r="DR158" s="1">
        <v>0.265145144</v>
      </c>
      <c r="DT158" s="1">
        <v>3.6863640000000003E-2</v>
      </c>
      <c r="EA158" s="1">
        <v>9.8303039999999994E-2</v>
      </c>
      <c r="ED158" s="1">
        <v>2.4575759999999999E-2</v>
      </c>
      <c r="EE158" s="1">
        <v>2.4575759999999999E-2</v>
      </c>
      <c r="EH158" s="1">
        <v>2.4575759999999999E-2</v>
      </c>
      <c r="EK158" s="1">
        <v>1.2287879999999999E-2</v>
      </c>
      <c r="EL158" s="1">
        <v>6.8265999999999993E-2</v>
      </c>
      <c r="EQ158" s="1">
        <v>3.6863640000000003E-2</v>
      </c>
      <c r="ER158" s="1">
        <v>4.9151519999999997E-2</v>
      </c>
      <c r="ET158" s="1">
        <v>1.2287879999999999E-2</v>
      </c>
      <c r="EU158" s="1">
        <v>1.2287879999999999E-2</v>
      </c>
      <c r="EX158" s="1">
        <v>1.2287879999999999E-2</v>
      </c>
      <c r="FE158" s="1">
        <v>0.157284864</v>
      </c>
      <c r="FI158" s="1">
        <v>1.2287879999999999E-2</v>
      </c>
      <c r="FJ158" s="1">
        <v>7.3727280000000006E-2</v>
      </c>
      <c r="FM158" s="1">
        <v>0.78096304000000005</v>
      </c>
    </row>
    <row r="159" spans="1:169" x14ac:dyDescent="0.2">
      <c r="A159" s="1" t="s">
        <v>2042</v>
      </c>
      <c r="B159" s="1" t="s">
        <v>55</v>
      </c>
      <c r="C159" s="1" t="s">
        <v>1990</v>
      </c>
      <c r="E159" s="1">
        <v>37</v>
      </c>
      <c r="F159" s="1" t="s">
        <v>2043</v>
      </c>
      <c r="G159" s="1" t="s">
        <v>2044</v>
      </c>
      <c r="H159" s="1" t="s">
        <v>2045</v>
      </c>
      <c r="I159" s="1" t="s">
        <v>7</v>
      </c>
      <c r="J159" s="1" t="s">
        <v>2046</v>
      </c>
      <c r="K159" s="1" t="s">
        <v>2047</v>
      </c>
      <c r="L159" s="1" t="s">
        <v>2046</v>
      </c>
      <c r="P159" s="1" t="s">
        <v>1270</v>
      </c>
      <c r="Q159" s="1">
        <v>2001</v>
      </c>
      <c r="R159" s="1" t="s">
        <v>1997</v>
      </c>
      <c r="S159" s="1" t="s">
        <v>27</v>
      </c>
      <c r="T159" s="6">
        <v>1</v>
      </c>
      <c r="V159" s="1">
        <v>4.54</v>
      </c>
      <c r="Y159" s="1">
        <v>0.315556422</v>
      </c>
      <c r="Z159" s="1">
        <v>0.13301664999999999</v>
      </c>
      <c r="AB159" s="1">
        <v>1.3661833160000001</v>
      </c>
      <c r="AD159" s="1">
        <v>0.90150220264317205</v>
      </c>
      <c r="AF159" s="1">
        <v>1.3661833160000001</v>
      </c>
      <c r="AG159" s="1">
        <v>0.81979184599999999</v>
      </c>
      <c r="AW159" s="1">
        <v>4.2565327999999999E-2</v>
      </c>
      <c r="BA159" s="1">
        <v>0.133425932</v>
      </c>
      <c r="BD159" s="1">
        <v>4.0109635999999997E-2</v>
      </c>
      <c r="BG159" s="1">
        <v>4.0109635999999997E-2</v>
      </c>
      <c r="BI159" s="1">
        <v>3.3151842000000001E-2</v>
      </c>
      <c r="BK159" s="1">
        <v>6.5485120000000003E-3</v>
      </c>
      <c r="BL159" s="1">
        <v>6.5485120000000003E-3</v>
      </c>
      <c r="BM159" s="1">
        <v>1.3097024000000001E-2</v>
      </c>
      <c r="CA159" s="1">
        <v>6.5485120000000003E-3</v>
      </c>
      <c r="CQ159" s="1">
        <v>7.3261478000000005E-2</v>
      </c>
      <c r="CZ159" s="1">
        <v>4.0109635999999997E-2</v>
      </c>
      <c r="DD159" s="1">
        <v>1.3097024000000001E-2</v>
      </c>
      <c r="DH159" s="1">
        <v>6.5485120000000003E-3</v>
      </c>
      <c r="DJ159" s="1">
        <v>0.97818397999999995</v>
      </c>
      <c r="DN159" s="1">
        <v>0.67531529999999995</v>
      </c>
      <c r="DR159" s="1">
        <v>0.32005852400000001</v>
      </c>
      <c r="DT159" s="1">
        <v>6.5485120000000003E-3</v>
      </c>
      <c r="DZ159" s="1">
        <v>6.5485120000000003E-3</v>
      </c>
      <c r="EA159" s="1">
        <v>0.25334555800000003</v>
      </c>
      <c r="ED159" s="1">
        <v>7.9809989999999997E-2</v>
      </c>
      <c r="EH159" s="1">
        <v>9.9864807999999999E-2</v>
      </c>
      <c r="EK159" s="1">
        <v>1.3506305999999999E-2</v>
      </c>
      <c r="EL159" s="1">
        <v>8.6767784000000001E-2</v>
      </c>
      <c r="EQ159" s="1">
        <v>6.5485120000000003E-3</v>
      </c>
      <c r="ER159" s="1">
        <v>0.139974444</v>
      </c>
      <c r="ET159" s="1">
        <v>4.0109635999999997E-2</v>
      </c>
      <c r="EX159" s="1">
        <v>1.3506305999999999E-2</v>
      </c>
      <c r="EY159" s="1">
        <v>6.5485120000000003E-3</v>
      </c>
      <c r="FA159" s="1">
        <v>6.5485120000000003E-3</v>
      </c>
      <c r="FE159" s="1">
        <v>0.19318110399999999</v>
      </c>
      <c r="FG159" s="1">
        <v>6.5485120000000003E-3</v>
      </c>
      <c r="FI159" s="1">
        <v>2.0054817999999999E-2</v>
      </c>
      <c r="FJ159" s="1">
        <v>7.9809989999999997E-2</v>
      </c>
      <c r="FM159" s="1">
        <v>0.59345890000000001</v>
      </c>
    </row>
    <row r="160" spans="1:169" x14ac:dyDescent="0.2">
      <c r="A160" s="1" t="s">
        <v>2048</v>
      </c>
      <c r="B160" s="1" t="s">
        <v>55</v>
      </c>
      <c r="C160" s="1" t="s">
        <v>1990</v>
      </c>
      <c r="E160" s="1">
        <v>37</v>
      </c>
      <c r="F160" s="1" t="s">
        <v>2049</v>
      </c>
      <c r="G160" s="1" t="s">
        <v>2050</v>
      </c>
      <c r="H160" s="1" t="s">
        <v>2051</v>
      </c>
      <c r="I160" s="1" t="s">
        <v>7</v>
      </c>
      <c r="J160" s="1" t="s">
        <v>2052</v>
      </c>
      <c r="K160" s="1" t="s">
        <v>2053</v>
      </c>
      <c r="L160" s="1" t="s">
        <v>2054</v>
      </c>
      <c r="P160" s="1" t="s">
        <v>1270</v>
      </c>
      <c r="Q160" s="1">
        <v>2001</v>
      </c>
      <c r="R160" s="1" t="s">
        <v>1997</v>
      </c>
      <c r="S160" s="1" t="s">
        <v>27</v>
      </c>
      <c r="T160" s="6">
        <v>1</v>
      </c>
      <c r="V160" s="1">
        <v>5.77</v>
      </c>
      <c r="Y160" s="1">
        <v>0.41346834900000001</v>
      </c>
      <c r="Z160" s="1">
        <v>0.29870337000000002</v>
      </c>
      <c r="AB160" s="1">
        <v>1.691080307</v>
      </c>
      <c r="AD160" s="1">
        <v>0.90821663778162898</v>
      </c>
      <c r="AF160" s="1">
        <v>2.161669125</v>
      </c>
      <c r="AG160" s="1">
        <v>0.62727707700000002</v>
      </c>
      <c r="AW160" s="1">
        <v>9.5375461999999994E-2</v>
      </c>
      <c r="BA160" s="1">
        <v>0.124721758</v>
      </c>
      <c r="BD160" s="1">
        <v>2.7774172999999999E-2</v>
      </c>
      <c r="BG160" s="1">
        <v>8.3322518999999998E-2</v>
      </c>
      <c r="BI160" s="1">
        <v>1.3625066E-2</v>
      </c>
      <c r="BK160" s="1">
        <v>1.3625066E-2</v>
      </c>
      <c r="BL160" s="1">
        <v>1.3625066E-2</v>
      </c>
      <c r="BM160" s="1">
        <v>4.1399238999999997E-2</v>
      </c>
      <c r="CA160" s="1">
        <v>0.122625594</v>
      </c>
      <c r="CQ160" s="1">
        <v>0.13467853699999999</v>
      </c>
      <c r="CZ160" s="1">
        <v>1.3625066E-2</v>
      </c>
      <c r="DD160" s="1">
        <v>2.7774172999999999E-2</v>
      </c>
      <c r="DJ160" s="1">
        <v>1.01139913</v>
      </c>
      <c r="DN160" s="1">
        <v>0.47582922799999999</v>
      </c>
      <c r="DR160" s="1">
        <v>0.52928140999999995</v>
      </c>
      <c r="DT160" s="1">
        <v>2.7250132E-2</v>
      </c>
      <c r="EA160" s="1">
        <v>0.22166934299999999</v>
      </c>
      <c r="ED160" s="1">
        <v>4.1399238999999997E-2</v>
      </c>
      <c r="EH160" s="1">
        <v>4.1399238999999997E-2</v>
      </c>
      <c r="EK160" s="1">
        <v>1.3625066E-2</v>
      </c>
      <c r="EL160" s="1">
        <v>0.124721758</v>
      </c>
      <c r="EQ160" s="1">
        <v>1.3625066E-2</v>
      </c>
      <c r="ER160" s="1">
        <v>0.13887086500000001</v>
      </c>
      <c r="ET160" s="1">
        <v>1.3625066E-2</v>
      </c>
      <c r="EU160" s="1">
        <v>1.3625066E-2</v>
      </c>
      <c r="EX160" s="1">
        <v>1.3625066E-2</v>
      </c>
      <c r="EY160" s="1">
        <v>1.3625066E-2</v>
      </c>
      <c r="FA160" s="1">
        <v>2.7774172999999999E-2</v>
      </c>
      <c r="FE160" s="1">
        <v>0.208044277</v>
      </c>
      <c r="FI160" s="1">
        <v>2.7774172999999999E-2</v>
      </c>
      <c r="FJ160" s="1">
        <v>9.6947585000000003E-2</v>
      </c>
      <c r="FM160" s="1">
        <v>1.4306319300000001</v>
      </c>
    </row>
    <row r="161" spans="1:174" x14ac:dyDescent="0.2">
      <c r="A161" s="1" t="s">
        <v>2055</v>
      </c>
      <c r="B161" s="1" t="s">
        <v>55</v>
      </c>
      <c r="C161" s="1" t="s">
        <v>2056</v>
      </c>
      <c r="D161" s="1" t="s">
        <v>2</v>
      </c>
      <c r="E161" s="1">
        <v>23</v>
      </c>
      <c r="F161" s="1" t="s">
        <v>1472</v>
      </c>
      <c r="H161" s="1" t="s">
        <v>2057</v>
      </c>
      <c r="I161" s="1" t="s">
        <v>7</v>
      </c>
      <c r="J161" s="1" t="s">
        <v>1474</v>
      </c>
      <c r="K161" s="1" t="s">
        <v>1475</v>
      </c>
      <c r="L161" s="1" t="s">
        <v>1474</v>
      </c>
      <c r="M161" s="1" t="s">
        <v>2058</v>
      </c>
      <c r="N161" s="1" t="s">
        <v>2059</v>
      </c>
      <c r="O161" s="1">
        <v>2</v>
      </c>
      <c r="P161" s="1" t="s">
        <v>2060</v>
      </c>
      <c r="Q161" s="1">
        <v>1999</v>
      </c>
      <c r="R161" s="1" t="s">
        <v>2061</v>
      </c>
      <c r="S161" s="1" t="s">
        <v>27</v>
      </c>
      <c r="T161" s="6">
        <v>1</v>
      </c>
      <c r="Y161" s="1">
        <v>2.0367999999999999</v>
      </c>
      <c r="AE161" s="1">
        <v>6.7</v>
      </c>
      <c r="AF161" s="1">
        <v>1.5343</v>
      </c>
      <c r="AG161" s="1">
        <v>1.5343</v>
      </c>
      <c r="AN161" s="1">
        <v>1.7084999999999999</v>
      </c>
      <c r="AW161" s="1">
        <v>0.13400000000000001</v>
      </c>
      <c r="BA161" s="1">
        <v>1.5544</v>
      </c>
      <c r="BG161" s="1">
        <v>0.30149999999999999</v>
      </c>
      <c r="BI161" s="1">
        <v>4.02E-2</v>
      </c>
      <c r="BK161" s="1">
        <v>1.34E-2</v>
      </c>
      <c r="BZ161" s="1">
        <v>0.26800000000000002</v>
      </c>
      <c r="CK161" s="1">
        <v>0.88439999999999996</v>
      </c>
      <c r="CM161" s="1">
        <v>0.13400000000000001</v>
      </c>
      <c r="CV161" s="1">
        <v>0.1206</v>
      </c>
      <c r="DE161" s="1">
        <v>2.01E-2</v>
      </c>
      <c r="DN161" s="1">
        <v>1.3533999999999999</v>
      </c>
      <c r="DT161" s="1">
        <v>0.1072</v>
      </c>
      <c r="EH161" s="1">
        <v>5.0250000000000003E-2</v>
      </c>
      <c r="EL161" s="1">
        <v>9.3799999999999994E-2</v>
      </c>
      <c r="ET161" s="1">
        <v>2.3449999999999999E-2</v>
      </c>
      <c r="FA161" s="1">
        <v>7.3700000000000002E-2</v>
      </c>
      <c r="FE161" s="1">
        <v>0.1608</v>
      </c>
      <c r="FJ161" s="1">
        <v>4.6899999999999997E-2</v>
      </c>
      <c r="FM161" s="1">
        <v>1.1456999999999999</v>
      </c>
      <c r="FR161" s="1">
        <v>0.21440000000000001</v>
      </c>
    </row>
    <row r="162" spans="1:174" x14ac:dyDescent="0.2">
      <c r="A162" s="1" t="s">
        <v>2062</v>
      </c>
      <c r="B162" s="1" t="s">
        <v>55</v>
      </c>
      <c r="C162" s="1" t="s">
        <v>2063</v>
      </c>
      <c r="D162" s="1" t="s">
        <v>2</v>
      </c>
      <c r="E162" s="1">
        <v>36</v>
      </c>
      <c r="F162" s="1" t="s">
        <v>2064</v>
      </c>
      <c r="H162" s="1" t="s">
        <v>2065</v>
      </c>
      <c r="I162" s="1" t="s">
        <v>7</v>
      </c>
      <c r="J162" s="1" t="s">
        <v>2066</v>
      </c>
      <c r="K162" s="1" t="s">
        <v>2067</v>
      </c>
      <c r="L162" s="1" t="s">
        <v>2066</v>
      </c>
      <c r="M162" s="1" t="s">
        <v>749</v>
      </c>
      <c r="N162" s="1" t="s">
        <v>2068</v>
      </c>
      <c r="O162" s="1">
        <v>3</v>
      </c>
      <c r="P162" s="1" t="s">
        <v>1270</v>
      </c>
      <c r="Q162" s="1">
        <v>2007</v>
      </c>
      <c r="R162" s="1" t="s">
        <v>2069</v>
      </c>
      <c r="S162" s="1" t="s">
        <v>27</v>
      </c>
      <c r="T162" s="6">
        <v>1</v>
      </c>
      <c r="U162" s="1">
        <v>55.3</v>
      </c>
      <c r="W162" s="1">
        <v>23</v>
      </c>
      <c r="Y162" s="1">
        <v>6.5866439999999997</v>
      </c>
      <c r="Z162" s="1">
        <v>6.4161159999999997</v>
      </c>
      <c r="AA162" s="1">
        <v>7.2474400000000001</v>
      </c>
      <c r="AD162" s="1">
        <v>0.92678260869565199</v>
      </c>
      <c r="AW162" s="1">
        <v>0.59684800000000005</v>
      </c>
      <c r="AY162" s="1">
        <v>0.10657999999999999</v>
      </c>
      <c r="BA162" s="1">
        <v>3.2400319999999998</v>
      </c>
      <c r="BD162" s="1">
        <v>0.29842400000000002</v>
      </c>
      <c r="BG162" s="1">
        <v>1.470804</v>
      </c>
      <c r="BI162" s="1">
        <v>0.89527199999999996</v>
      </c>
      <c r="CA162" s="1">
        <v>1.0231680000000001</v>
      </c>
      <c r="CF162" s="1">
        <v>0.12789600000000001</v>
      </c>
      <c r="CQ162" s="1">
        <v>4.5189919999999999</v>
      </c>
      <c r="CZ162" s="1">
        <v>0.14921200000000001</v>
      </c>
      <c r="DD162" s="1">
        <v>0.63948000000000005</v>
      </c>
      <c r="DN162" s="1">
        <v>0.23447599999999999</v>
      </c>
      <c r="DT162" s="1">
        <v>4.2632000000000003E-2</v>
      </c>
      <c r="EH162" s="1">
        <v>0.19184399999999999</v>
      </c>
      <c r="EK162" s="1">
        <v>2.1316000000000002E-2</v>
      </c>
      <c r="EX162" s="1">
        <v>0.40500399999999998</v>
      </c>
      <c r="FA162" s="1">
        <v>0.21315999999999999</v>
      </c>
      <c r="FE162" s="1">
        <v>1.556068</v>
      </c>
      <c r="FJ162" s="1">
        <v>0.44763599999999998</v>
      </c>
      <c r="FM162" s="1">
        <v>4.1353039999999996</v>
      </c>
    </row>
    <row r="163" spans="1:174" x14ac:dyDescent="0.2">
      <c r="A163" s="1" t="s">
        <v>2070</v>
      </c>
      <c r="B163" s="1" t="s">
        <v>55</v>
      </c>
      <c r="C163" s="1" t="s">
        <v>2056</v>
      </c>
      <c r="D163" s="1" t="s">
        <v>2</v>
      </c>
      <c r="E163" s="1">
        <v>33</v>
      </c>
      <c r="F163" s="1" t="s">
        <v>1305</v>
      </c>
      <c r="H163" s="1" t="s">
        <v>1306</v>
      </c>
      <c r="I163" s="1" t="s">
        <v>7</v>
      </c>
      <c r="J163" s="1" t="s">
        <v>1307</v>
      </c>
      <c r="K163" s="1" t="s">
        <v>1308</v>
      </c>
      <c r="L163" s="1" t="s">
        <v>1307</v>
      </c>
      <c r="M163" s="1" t="s">
        <v>2071</v>
      </c>
      <c r="N163" s="1" t="s">
        <v>2072</v>
      </c>
      <c r="O163" s="1">
        <v>1</v>
      </c>
      <c r="P163" s="1" t="s">
        <v>1270</v>
      </c>
      <c r="Q163" s="1">
        <v>2010</v>
      </c>
      <c r="R163" s="1" t="s">
        <v>2073</v>
      </c>
      <c r="S163" s="1" t="s">
        <v>27</v>
      </c>
      <c r="T163" s="6">
        <v>1</v>
      </c>
      <c r="U163" s="1">
        <v>72.44</v>
      </c>
      <c r="V163" s="1">
        <v>4.05</v>
      </c>
      <c r="Y163" s="1">
        <v>1.235757435</v>
      </c>
      <c r="Z163" s="1">
        <v>1.2383023900000001</v>
      </c>
      <c r="AA163" s="1">
        <v>1.10669186</v>
      </c>
      <c r="AB163" s="1">
        <v>2.0359639999999999E-3</v>
      </c>
      <c r="AD163" s="1">
        <v>0.89769135802469102</v>
      </c>
      <c r="AF163" s="1">
        <v>0.90454972</v>
      </c>
      <c r="AG163" s="1">
        <v>0.18796310499999999</v>
      </c>
      <c r="AU163" s="1">
        <v>2.5449549999999998E-3</v>
      </c>
      <c r="AV163" s="1">
        <v>3.2720850000000001E-3</v>
      </c>
      <c r="AW163" s="1">
        <v>0.187235975</v>
      </c>
      <c r="AY163" s="1">
        <v>3.7083629999999999E-2</v>
      </c>
      <c r="BA163" s="1">
        <v>0.71076957500000004</v>
      </c>
      <c r="BD163" s="1">
        <v>6.0715354999999999E-2</v>
      </c>
      <c r="BG163" s="1">
        <v>0.16942129</v>
      </c>
      <c r="BI163" s="1">
        <v>1.7451120000000001E-2</v>
      </c>
      <c r="BJ163" s="1">
        <v>5.4534750000000002E-3</v>
      </c>
      <c r="BK163" s="1">
        <v>2.254103E-2</v>
      </c>
      <c r="BL163" s="1">
        <v>3.6356499999999998E-3</v>
      </c>
      <c r="BM163" s="1">
        <v>1.5633294999999998E-2</v>
      </c>
      <c r="BS163" s="1">
        <v>8.3619950000000005E-3</v>
      </c>
      <c r="BV163" s="1">
        <v>1.45426E-3</v>
      </c>
      <c r="CA163" s="1">
        <v>0.243952115</v>
      </c>
      <c r="CF163" s="1">
        <v>2.8721634999999999E-2</v>
      </c>
      <c r="CI163" s="1">
        <v>0.69986262499999996</v>
      </c>
      <c r="CJ163" s="1">
        <v>3.9992150000000004E-3</v>
      </c>
      <c r="CV163" s="1">
        <v>0.116704365</v>
      </c>
      <c r="DB163" s="1">
        <v>3.4538674999999998E-2</v>
      </c>
      <c r="DE163" s="1">
        <v>0.101434635</v>
      </c>
      <c r="DK163" s="1">
        <v>0.17014841999999999</v>
      </c>
      <c r="DM163" s="1">
        <v>1.308834E-2</v>
      </c>
      <c r="DU163" s="1">
        <v>1.4179035E-2</v>
      </c>
      <c r="DX163" s="1">
        <v>0</v>
      </c>
      <c r="ED163" s="1">
        <v>4.7263449999999999E-3</v>
      </c>
      <c r="EH163" s="1">
        <v>3.2720850000000003E-2</v>
      </c>
      <c r="EL163" s="1">
        <v>3.2720850000000001E-3</v>
      </c>
      <c r="FE163" s="1">
        <v>0.17851041500000001</v>
      </c>
      <c r="FM163" s="1">
        <v>0.69004637000000002</v>
      </c>
    </row>
    <row r="164" spans="1:174" x14ac:dyDescent="0.2">
      <c r="A164" s="1" t="s">
        <v>2074</v>
      </c>
      <c r="B164" s="1" t="s">
        <v>55</v>
      </c>
      <c r="C164" s="1" t="s">
        <v>2056</v>
      </c>
      <c r="D164" s="1" t="s">
        <v>2</v>
      </c>
      <c r="E164" s="1">
        <v>33</v>
      </c>
      <c r="F164" s="1" t="s">
        <v>2075</v>
      </c>
      <c r="H164" s="1" t="s">
        <v>2076</v>
      </c>
      <c r="I164" s="1" t="s">
        <v>7</v>
      </c>
      <c r="J164" s="1" t="s">
        <v>2077</v>
      </c>
      <c r="K164" s="1" t="s">
        <v>2078</v>
      </c>
      <c r="L164" s="1" t="s">
        <v>2077</v>
      </c>
      <c r="M164" s="1" t="s">
        <v>2071</v>
      </c>
      <c r="N164" s="1" t="s">
        <v>2079</v>
      </c>
      <c r="O164" s="1">
        <v>1</v>
      </c>
      <c r="P164" s="1" t="s">
        <v>1270</v>
      </c>
      <c r="Q164" s="1">
        <v>2010</v>
      </c>
      <c r="R164" s="1" t="s">
        <v>2073</v>
      </c>
      <c r="S164" s="1" t="s">
        <v>27</v>
      </c>
      <c r="T164" s="6">
        <v>1</v>
      </c>
      <c r="U164" s="1">
        <v>75.02</v>
      </c>
      <c r="V164" s="1">
        <v>3.12</v>
      </c>
      <c r="Y164" s="1">
        <v>1.1052464280000001</v>
      </c>
      <c r="Z164" s="1">
        <v>1.1171486559999999</v>
      </c>
      <c r="AA164" s="1">
        <v>0.54528812000000004</v>
      </c>
      <c r="AB164" s="1">
        <v>0</v>
      </c>
      <c r="AD164" s="1">
        <v>0.88716666666666699</v>
      </c>
      <c r="AF164" s="1">
        <v>0.30918113200000003</v>
      </c>
      <c r="AG164" s="1">
        <v>0.23112466000000001</v>
      </c>
      <c r="AU164" s="1">
        <v>3.3215520000000002E-3</v>
      </c>
      <c r="AV164" s="1">
        <v>1.6607760000000001E-3</v>
      </c>
      <c r="AW164" s="1">
        <v>0.14808586000000001</v>
      </c>
      <c r="AY164" s="1">
        <v>2.3250864E-2</v>
      </c>
      <c r="BA164" s="1">
        <v>0.68590048800000003</v>
      </c>
      <c r="BD164" s="1">
        <v>3.9858624000000002E-2</v>
      </c>
      <c r="BG164" s="1">
        <v>0.12455819999999999</v>
      </c>
      <c r="BI164" s="1">
        <v>3.1001152000000001E-2</v>
      </c>
      <c r="BJ164" s="1">
        <v>1.3286208000000001E-2</v>
      </c>
      <c r="BK164" s="1">
        <v>1.4946984E-2</v>
      </c>
      <c r="BL164" s="1">
        <v>9.1342679999999992E-3</v>
      </c>
      <c r="BM164" s="1">
        <v>9.9646560000000006E-3</v>
      </c>
      <c r="BS164" s="1">
        <v>5.2591239999999996E-3</v>
      </c>
      <c r="BV164" s="1">
        <v>4.9823280000000003E-3</v>
      </c>
      <c r="CA164" s="1">
        <v>0.22143679999999999</v>
      </c>
      <c r="CF164" s="1">
        <v>2.3527659999999999E-2</v>
      </c>
      <c r="CI164" s="1">
        <v>0.69254359200000004</v>
      </c>
      <c r="CJ164" s="1">
        <v>1.3839799999999999E-3</v>
      </c>
      <c r="CV164" s="1">
        <v>6.7538223999999994E-2</v>
      </c>
      <c r="DB164" s="1">
        <v>4.2626584000000002E-2</v>
      </c>
      <c r="DE164" s="1">
        <v>5.7573567999999999E-2</v>
      </c>
      <c r="DK164" s="1">
        <v>0.22143679999999999</v>
      </c>
      <c r="DM164" s="1">
        <v>5.8127159999999999E-3</v>
      </c>
      <c r="DU164" s="1">
        <v>5.5359199999999999E-4</v>
      </c>
      <c r="DX164" s="1">
        <v>4.7055320000000001E-3</v>
      </c>
      <c r="ED164" s="1">
        <v>3.8751440000000001E-3</v>
      </c>
      <c r="EH164" s="1">
        <v>3.9858624000000002E-2</v>
      </c>
      <c r="EL164" s="1">
        <v>2.214368E-3</v>
      </c>
      <c r="FE164" s="1">
        <v>8.8851516000000005E-2</v>
      </c>
      <c r="FM164" s="1">
        <v>0.17853342</v>
      </c>
    </row>
    <row r="165" spans="1:174" x14ac:dyDescent="0.2">
      <c r="A165" s="1" t="s">
        <v>2080</v>
      </c>
      <c r="B165" s="1" t="s">
        <v>55</v>
      </c>
      <c r="C165" s="1" t="s">
        <v>2056</v>
      </c>
      <c r="D165" s="1" t="s">
        <v>2</v>
      </c>
      <c r="E165" s="1">
        <v>33</v>
      </c>
      <c r="F165" s="1" t="s">
        <v>2081</v>
      </c>
      <c r="H165" s="1" t="s">
        <v>2082</v>
      </c>
      <c r="I165" s="1" t="s">
        <v>7</v>
      </c>
      <c r="J165" s="1" t="s">
        <v>2083</v>
      </c>
      <c r="K165" s="1" t="s">
        <v>2084</v>
      </c>
      <c r="L165" s="1" t="s">
        <v>2083</v>
      </c>
      <c r="M165" s="1" t="s">
        <v>2071</v>
      </c>
      <c r="N165" s="1" t="s">
        <v>2085</v>
      </c>
      <c r="O165" s="1">
        <v>1</v>
      </c>
      <c r="P165" s="1" t="s">
        <v>1270</v>
      </c>
      <c r="Q165" s="1">
        <v>2010</v>
      </c>
      <c r="R165" s="1" t="s">
        <v>2073</v>
      </c>
      <c r="S165" s="1" t="s">
        <v>27</v>
      </c>
      <c r="T165" s="6">
        <v>1</v>
      </c>
      <c r="U165" s="1">
        <v>74.48</v>
      </c>
      <c r="V165" s="1">
        <v>3.84</v>
      </c>
      <c r="Y165" s="1">
        <v>1.197710504</v>
      </c>
      <c r="Z165" s="1">
        <v>1.5045335280000001</v>
      </c>
      <c r="AA165" s="1">
        <v>0.73747596800000004</v>
      </c>
      <c r="AB165" s="1">
        <v>0</v>
      </c>
      <c r="AD165" s="1">
        <v>0.89576041666666695</v>
      </c>
      <c r="AF165" s="1">
        <v>0.45369906799999998</v>
      </c>
      <c r="AG165" s="1">
        <v>0.264514468</v>
      </c>
      <c r="AU165" s="1">
        <v>3.0957480000000002E-3</v>
      </c>
      <c r="AV165" s="1">
        <v>9.2872440000000001E-3</v>
      </c>
      <c r="AW165" s="1">
        <v>0.17989735600000001</v>
      </c>
      <c r="AY165" s="1">
        <v>2.7173788000000001E-2</v>
      </c>
      <c r="BA165" s="1">
        <v>0.73300433200000004</v>
      </c>
      <c r="BD165" s="1">
        <v>3.1301452E-2</v>
      </c>
      <c r="BG165" s="1">
        <v>0.10594337600000001</v>
      </c>
      <c r="BI165" s="1">
        <v>4.5060332000000002E-2</v>
      </c>
      <c r="BJ165" s="1">
        <v>9.6312159999999997E-3</v>
      </c>
      <c r="BK165" s="1">
        <v>1.8918460000000002E-2</v>
      </c>
      <c r="BL165" s="1">
        <v>1.4790796E-2</v>
      </c>
      <c r="BM165" s="1">
        <v>1.9950375999999999E-2</v>
      </c>
      <c r="BS165" s="1">
        <v>6.8794399999999997E-3</v>
      </c>
      <c r="BV165" s="1">
        <v>5.5035520000000001E-3</v>
      </c>
      <c r="CA165" s="1">
        <v>0.27380171199999997</v>
      </c>
      <c r="CF165" s="1">
        <v>3.1301452E-2</v>
      </c>
      <c r="CI165" s="1">
        <v>0.98204005999999999</v>
      </c>
      <c r="CJ165" s="1">
        <v>1.7198599999999999E-3</v>
      </c>
      <c r="CV165" s="1">
        <v>9.7344076000000002E-2</v>
      </c>
      <c r="DB165" s="1">
        <v>4.0932667999999998E-2</v>
      </c>
      <c r="DE165" s="1">
        <v>6.5354679999999998E-2</v>
      </c>
      <c r="DK165" s="1">
        <v>0.25006764399999998</v>
      </c>
      <c r="DM165" s="1">
        <v>6.8794399999999997E-3</v>
      </c>
      <c r="DU165" s="1">
        <v>1.547874E-2</v>
      </c>
      <c r="DX165" s="1">
        <v>0.130365388</v>
      </c>
      <c r="ED165" s="1">
        <v>7.5673839999999999E-3</v>
      </c>
      <c r="EH165" s="1">
        <v>3.4397199999999998E-3</v>
      </c>
      <c r="EL165" s="1">
        <v>3.4397199999999998E-3</v>
      </c>
      <c r="FE165" s="1">
        <v>4.4716360000000002E-3</v>
      </c>
      <c r="FM165" s="1">
        <v>0.31542232399999998</v>
      </c>
    </row>
    <row r="166" spans="1:174" x14ac:dyDescent="0.2">
      <c r="A166" s="1" t="s">
        <v>2086</v>
      </c>
      <c r="B166" s="1" t="s">
        <v>55</v>
      </c>
      <c r="C166" s="1" t="s">
        <v>2087</v>
      </c>
      <c r="D166" s="1" t="s">
        <v>2</v>
      </c>
      <c r="E166" s="1">
        <v>13</v>
      </c>
      <c r="F166" s="1" t="s">
        <v>2088</v>
      </c>
      <c r="H166" s="1" t="s">
        <v>2089</v>
      </c>
      <c r="I166" s="1" t="s">
        <v>7</v>
      </c>
      <c r="J166" s="1" t="s">
        <v>2090</v>
      </c>
      <c r="K166" s="1" t="s">
        <v>2091</v>
      </c>
      <c r="L166" s="1" t="s">
        <v>2092</v>
      </c>
      <c r="N166" s="1" t="s">
        <v>2093</v>
      </c>
      <c r="O166" s="1">
        <v>1</v>
      </c>
      <c r="P166" s="1" t="s">
        <v>1270</v>
      </c>
      <c r="Q166" s="1">
        <v>2010</v>
      </c>
      <c r="R166" s="1" t="s">
        <v>2094</v>
      </c>
      <c r="S166" s="1" t="s">
        <v>27</v>
      </c>
      <c r="T166" s="6">
        <v>1</v>
      </c>
      <c r="U166" s="1">
        <v>78.88</v>
      </c>
      <c r="W166" s="1">
        <v>0.54</v>
      </c>
      <c r="Y166" s="1">
        <v>0.16433852400000001</v>
      </c>
      <c r="Z166" s="1">
        <v>0.10270249200000001</v>
      </c>
      <c r="AA166" s="1">
        <v>9.6378984000000001E-2</v>
      </c>
      <c r="AD166" s="1">
        <v>0.67300000000000004</v>
      </c>
      <c r="AU166" s="1">
        <v>4.7244600000000001E-4</v>
      </c>
      <c r="AW166" s="1">
        <v>9.4852619999999995E-3</v>
      </c>
      <c r="BA166" s="1">
        <v>0.114768036</v>
      </c>
      <c r="BG166" s="1">
        <v>3.6996156000000002E-2</v>
      </c>
      <c r="BI166" s="1">
        <v>1.9624680000000002E-3</v>
      </c>
      <c r="BK166" s="1">
        <v>6.5415600000000003E-4</v>
      </c>
      <c r="BS166" s="1">
        <v>9.4489200000000002E-4</v>
      </c>
      <c r="CA166" s="1">
        <v>5.9237459999999997E-3</v>
      </c>
      <c r="CQ166" s="1">
        <v>8.4386124000000007E-2</v>
      </c>
      <c r="CZ166" s="1">
        <v>1.0975284E-2</v>
      </c>
      <c r="DD166" s="1">
        <v>4.7244600000000001E-4</v>
      </c>
      <c r="DR166" s="1">
        <v>4.2229403999999998E-2</v>
      </c>
      <c r="DV166" s="1">
        <v>3.5978579999999998E-3</v>
      </c>
      <c r="EI166" s="1">
        <v>1.2319938000000001E-2</v>
      </c>
      <c r="EM166" s="1">
        <v>1.3083120000000001E-3</v>
      </c>
      <c r="EZ166" s="1">
        <v>2.4349139999999998E-2</v>
      </c>
      <c r="FE166" s="1">
        <v>1.2574332000000001E-2</v>
      </c>
    </row>
    <row r="167" spans="1:174" x14ac:dyDescent="0.2">
      <c r="A167" s="1" t="s">
        <v>2095</v>
      </c>
      <c r="B167" s="1" t="s">
        <v>55</v>
      </c>
      <c r="C167" s="1" t="s">
        <v>2087</v>
      </c>
      <c r="D167" s="1" t="s">
        <v>2</v>
      </c>
      <c r="E167" s="1">
        <v>13</v>
      </c>
      <c r="F167" s="1" t="s">
        <v>2088</v>
      </c>
      <c r="H167" s="1" t="s">
        <v>2096</v>
      </c>
      <c r="I167" s="1" t="s">
        <v>7</v>
      </c>
      <c r="J167" s="1" t="s">
        <v>2090</v>
      </c>
      <c r="K167" s="1" t="s">
        <v>2091</v>
      </c>
      <c r="L167" s="1" t="s">
        <v>2092</v>
      </c>
      <c r="N167" s="1" t="s">
        <v>2093</v>
      </c>
      <c r="O167" s="1">
        <v>1</v>
      </c>
      <c r="P167" s="1" t="s">
        <v>1270</v>
      </c>
      <c r="Q167" s="1">
        <v>2010</v>
      </c>
      <c r="R167" s="1" t="s">
        <v>2094</v>
      </c>
      <c r="S167" s="1" t="s">
        <v>27</v>
      </c>
      <c r="T167" s="6">
        <v>1</v>
      </c>
      <c r="U167" s="1">
        <v>81.67</v>
      </c>
      <c r="W167" s="1">
        <v>4.21</v>
      </c>
      <c r="Y167" s="1">
        <v>1.7138163040000001</v>
      </c>
      <c r="Z167" s="1">
        <v>1.4004240999999999</v>
      </c>
      <c r="AA167" s="1">
        <v>0.670689596</v>
      </c>
      <c r="AD167" s="1">
        <v>0.89903325415677005</v>
      </c>
      <c r="AU167" s="1">
        <v>5.2989020000000003E-3</v>
      </c>
      <c r="AW167" s="1">
        <v>0.12679515499999999</v>
      </c>
      <c r="BA167" s="1">
        <v>1.172949807</v>
      </c>
      <c r="BG167" s="1">
        <v>0.383034916</v>
      </c>
      <c r="BI167" s="1">
        <v>1.8924650000000001E-2</v>
      </c>
      <c r="BK167" s="1">
        <v>6.812874E-3</v>
      </c>
      <c r="BS167" s="1">
        <v>8.3268460000000006E-3</v>
      </c>
      <c r="CA167" s="1">
        <v>7.3427642000000001E-2</v>
      </c>
      <c r="CQ167" s="1">
        <v>1.157431594</v>
      </c>
      <c r="CZ167" s="1">
        <v>0.153668158</v>
      </c>
      <c r="DD167" s="1">
        <v>7.5698600000000003E-3</v>
      </c>
      <c r="DR167" s="1">
        <v>0.436023936</v>
      </c>
      <c r="DV167" s="1">
        <v>3.3685877000000003E-2</v>
      </c>
      <c r="EI167" s="1">
        <v>7.5698600000000005E-2</v>
      </c>
      <c r="EM167" s="1">
        <v>8.7053389999999994E-3</v>
      </c>
      <c r="EZ167" s="1">
        <v>6.0180387000000002E-2</v>
      </c>
      <c r="FE167" s="1">
        <v>5.6395457000000003E-2</v>
      </c>
    </row>
    <row r="168" spans="1:174" x14ac:dyDescent="0.2">
      <c r="A168" s="1" t="s">
        <v>2097</v>
      </c>
      <c r="B168" s="1" t="s">
        <v>55</v>
      </c>
      <c r="C168" s="1" t="s">
        <v>2098</v>
      </c>
      <c r="D168" s="1" t="s">
        <v>2</v>
      </c>
      <c r="E168" s="1">
        <v>33</v>
      </c>
      <c r="F168" s="1" t="s">
        <v>2081</v>
      </c>
      <c r="H168" s="1" t="s">
        <v>2099</v>
      </c>
      <c r="I168" s="1" t="s">
        <v>7</v>
      </c>
      <c r="J168" s="1" t="s">
        <v>2083</v>
      </c>
      <c r="K168" s="1" t="s">
        <v>2084</v>
      </c>
      <c r="L168" s="1" t="s">
        <v>2083</v>
      </c>
      <c r="M168" s="1" t="s">
        <v>2100</v>
      </c>
      <c r="N168" s="1" t="s">
        <v>2101</v>
      </c>
      <c r="O168" s="1">
        <v>5</v>
      </c>
      <c r="P168" s="1" t="s">
        <v>1270</v>
      </c>
      <c r="Q168" s="1">
        <v>2001</v>
      </c>
      <c r="R168" s="1" t="s">
        <v>2102</v>
      </c>
      <c r="S168" s="1" t="s">
        <v>27</v>
      </c>
      <c r="T168" s="6">
        <v>1</v>
      </c>
      <c r="V168" s="1">
        <v>7.59</v>
      </c>
      <c r="Y168" s="1">
        <v>1.9191808020000001</v>
      </c>
      <c r="Z168" s="1">
        <v>2.5637646649999999</v>
      </c>
      <c r="AA168" s="1">
        <v>2.4555245330000002</v>
      </c>
      <c r="AD168" s="1">
        <v>0.91415942028985497</v>
      </c>
      <c r="AF168" s="1">
        <v>1.987871655</v>
      </c>
      <c r="AG168" s="1">
        <v>0.46765287799999999</v>
      </c>
      <c r="AH168" s="1">
        <v>2.0746025299999999</v>
      </c>
      <c r="AW168" s="1">
        <v>0.301129598</v>
      </c>
      <c r="AY168" s="1">
        <v>2.0121562999999999E-2</v>
      </c>
      <c r="BA168" s="1">
        <v>1.352307803</v>
      </c>
      <c r="BG168" s="1">
        <v>0.23868336800000001</v>
      </c>
      <c r="BZ168" s="1">
        <v>0.489162135</v>
      </c>
      <c r="CK168" s="1">
        <v>1.8005329649999999</v>
      </c>
      <c r="CV168" s="1">
        <v>0.102689356</v>
      </c>
      <c r="DB168" s="1">
        <v>0.134606318</v>
      </c>
      <c r="DE168" s="1">
        <v>3.6773891000000003E-2</v>
      </c>
      <c r="DN168" s="1">
        <v>0.29557882200000002</v>
      </c>
      <c r="DT168" s="1">
        <v>3.5386197000000001E-2</v>
      </c>
      <c r="ED168" s="1">
        <v>7.6323169999999996E-3</v>
      </c>
      <c r="EH168" s="1">
        <v>6.8690852999999996E-2</v>
      </c>
      <c r="EK168" s="1">
        <v>1.4570787E-2</v>
      </c>
      <c r="ET168" s="1">
        <v>0.17623713799999999</v>
      </c>
      <c r="EX168" s="1">
        <v>7.0772394000000002E-2</v>
      </c>
      <c r="FA168" s="1">
        <v>4.3712360999999998E-2</v>
      </c>
      <c r="FE168" s="1">
        <v>0.70009162300000005</v>
      </c>
      <c r="FJ168" s="1">
        <v>0.293497281</v>
      </c>
      <c r="FM168" s="1">
        <v>0.74866091300000004</v>
      </c>
    </row>
    <row r="169" spans="1:174" x14ac:dyDescent="0.2">
      <c r="A169" s="1" t="s">
        <v>2103</v>
      </c>
      <c r="B169" s="1" t="s">
        <v>55</v>
      </c>
      <c r="C169" s="1" t="s">
        <v>2104</v>
      </c>
      <c r="E169" s="1">
        <v>36</v>
      </c>
      <c r="F169" s="1" t="s">
        <v>2105</v>
      </c>
      <c r="G169" s="1" t="s">
        <v>2106</v>
      </c>
      <c r="H169" s="1" t="s">
        <v>2107</v>
      </c>
      <c r="I169" s="1" t="s">
        <v>7</v>
      </c>
      <c r="J169" s="1" t="s">
        <v>2108</v>
      </c>
      <c r="K169" s="1" t="s">
        <v>2109</v>
      </c>
      <c r="O169" s="1">
        <v>1</v>
      </c>
      <c r="P169" s="1" t="s">
        <v>1270</v>
      </c>
      <c r="Q169" s="1">
        <v>2009</v>
      </c>
      <c r="R169" s="1" t="s">
        <v>2110</v>
      </c>
      <c r="S169" s="1" t="s">
        <v>27</v>
      </c>
      <c r="T169" s="6">
        <v>1</v>
      </c>
      <c r="U169" s="1">
        <v>73.77</v>
      </c>
      <c r="W169" s="1">
        <v>4.0999999999999996</v>
      </c>
      <c r="Y169" s="1">
        <v>1.5392014000000001</v>
      </c>
      <c r="Z169" s="1">
        <v>1.3230503899999999</v>
      </c>
      <c r="AA169" s="1">
        <v>0.82004821000000006</v>
      </c>
      <c r="AD169" s="1">
        <v>0.89812195121951199</v>
      </c>
      <c r="AF169" s="1">
        <v>0.56928358000000001</v>
      </c>
      <c r="AG169" s="1">
        <v>0.10199970999999999</v>
      </c>
      <c r="AQ169" s="1">
        <v>3.6822999999999999E-4</v>
      </c>
      <c r="AR169" s="1">
        <v>7.3645999999999998E-4</v>
      </c>
      <c r="AS169" s="1">
        <v>3.6822999999999999E-4</v>
      </c>
      <c r="AT169" s="1">
        <v>0</v>
      </c>
      <c r="AU169" s="1">
        <v>6.99637E-3</v>
      </c>
      <c r="AV169" s="1">
        <v>3.6822999999999999E-3</v>
      </c>
      <c r="AW169" s="1">
        <v>0.2025265</v>
      </c>
      <c r="AY169" s="1">
        <v>4.78699E-2</v>
      </c>
      <c r="BA169" s="1">
        <v>0.87822855</v>
      </c>
      <c r="BD169" s="1">
        <v>7.9537679999999999E-2</v>
      </c>
      <c r="BG169" s="1">
        <v>0.28979701000000002</v>
      </c>
      <c r="BI169" s="1">
        <v>1.7306809999999999E-2</v>
      </c>
      <c r="BM169" s="1">
        <v>1.178336E-2</v>
      </c>
      <c r="BS169" s="1">
        <v>6.6281400000000002E-3</v>
      </c>
      <c r="BZ169" s="1">
        <v>0.24855525000000001</v>
      </c>
      <c r="CK169" s="1">
        <v>0.68453956999999999</v>
      </c>
      <c r="CM169" s="1">
        <v>0.17527748000000001</v>
      </c>
      <c r="CV169" s="1">
        <v>9.9422099999999999E-2</v>
      </c>
      <c r="DB169" s="1">
        <v>4.4555829999999998E-2</v>
      </c>
      <c r="DE169" s="1">
        <v>6.4072019999999993E-2</v>
      </c>
      <c r="DN169" s="1">
        <v>2.9458399999999999E-2</v>
      </c>
      <c r="DR169" s="1">
        <v>9.6108029999999997E-2</v>
      </c>
      <c r="DT169" s="1">
        <v>4.41876E-2</v>
      </c>
      <c r="DY169" s="1">
        <v>4.3451139999999999E-2</v>
      </c>
      <c r="EH169" s="1">
        <v>4.7133439999999999E-2</v>
      </c>
      <c r="EK169" s="1">
        <v>5.1552200000000003E-3</v>
      </c>
      <c r="EY169" s="1">
        <v>5.4498039999999998E-2</v>
      </c>
      <c r="FC169" s="1">
        <v>9.2057500000000004E-3</v>
      </c>
      <c r="FE169" s="1">
        <v>0.11525599</v>
      </c>
      <c r="FI169" s="1">
        <v>2.3198489999999999E-2</v>
      </c>
      <c r="FM169" s="1">
        <v>0.35239610999999998</v>
      </c>
    </row>
    <row r="170" spans="1:174" x14ac:dyDescent="0.2">
      <c r="A170" s="1" t="s">
        <v>2111</v>
      </c>
      <c r="B170" s="1" t="s">
        <v>55</v>
      </c>
      <c r="C170" s="1" t="s">
        <v>2104</v>
      </c>
      <c r="E170" s="1">
        <v>33</v>
      </c>
      <c r="F170" s="1" t="s">
        <v>2112</v>
      </c>
      <c r="G170" s="1" t="s">
        <v>2113</v>
      </c>
      <c r="H170" s="1" t="s">
        <v>2114</v>
      </c>
      <c r="I170" s="1" t="s">
        <v>7</v>
      </c>
      <c r="J170" s="1" t="s">
        <v>2115</v>
      </c>
      <c r="K170" s="1" t="s">
        <v>2116</v>
      </c>
      <c r="L170" s="1" t="s">
        <v>2115</v>
      </c>
      <c r="O170" s="1">
        <v>1</v>
      </c>
      <c r="P170" s="1" t="s">
        <v>1270</v>
      </c>
      <c r="Q170" s="1">
        <v>2009</v>
      </c>
      <c r="R170" s="1" t="s">
        <v>2110</v>
      </c>
      <c r="S170" s="1" t="s">
        <v>27</v>
      </c>
      <c r="T170" s="6">
        <v>1</v>
      </c>
      <c r="U170" s="1">
        <v>78.23</v>
      </c>
      <c r="W170" s="1">
        <v>0.75</v>
      </c>
      <c r="Y170" s="1">
        <v>0.25465745000000001</v>
      </c>
      <c r="Z170" s="1">
        <v>0.19096525</v>
      </c>
      <c r="AA170" s="1">
        <v>0.1111273</v>
      </c>
      <c r="AD170" s="1">
        <v>0.74233333333333296</v>
      </c>
      <c r="AF170" s="1">
        <v>5.3058275000000002E-2</v>
      </c>
      <c r="AG170" s="1">
        <v>2.5888874999999999E-2</v>
      </c>
      <c r="AQ170" s="1">
        <v>1.6702500000000001E-4</v>
      </c>
      <c r="AR170" s="1">
        <v>3.3405000000000002E-4</v>
      </c>
      <c r="AS170" s="1">
        <v>3.3405000000000002E-4</v>
      </c>
      <c r="AT170" s="1">
        <v>5.5674999999999998E-5</v>
      </c>
      <c r="AU170" s="1">
        <v>4.1756249999999996E-3</v>
      </c>
      <c r="AV170" s="1">
        <v>1.22485E-3</v>
      </c>
      <c r="AW170" s="1">
        <v>5.2278825000000001E-2</v>
      </c>
      <c r="AY170" s="1">
        <v>1.525495E-2</v>
      </c>
      <c r="BA170" s="1">
        <v>0.1146905</v>
      </c>
      <c r="BD170" s="1">
        <v>9.2977249999999997E-3</v>
      </c>
      <c r="BG170" s="1">
        <v>5.3893400000000001E-2</v>
      </c>
      <c r="BI170" s="1">
        <v>2.4497E-3</v>
      </c>
      <c r="BM170" s="1">
        <v>8.9079999999999997E-4</v>
      </c>
      <c r="BS170" s="1">
        <v>8.3512500000000004E-4</v>
      </c>
      <c r="BZ170" s="1">
        <v>5.9349550000000001E-2</v>
      </c>
      <c r="CK170" s="1">
        <v>7.8947149999999994E-2</v>
      </c>
      <c r="CM170" s="1">
        <v>2.9507749999999999E-2</v>
      </c>
      <c r="CV170" s="1">
        <v>1.2749575000000001E-2</v>
      </c>
      <c r="DB170" s="1">
        <v>6.0685749999999997E-3</v>
      </c>
      <c r="DE170" s="1">
        <v>3.5075250000000001E-3</v>
      </c>
      <c r="DN170" s="1">
        <v>8.2398999999999997E-3</v>
      </c>
      <c r="DR170" s="1">
        <v>1.9096525E-2</v>
      </c>
      <c r="DT170" s="1">
        <v>7.6274749999999999E-3</v>
      </c>
      <c r="DY170" s="1">
        <v>6.4026250000000003E-3</v>
      </c>
      <c r="EH170" s="1">
        <v>8.9079999999999993E-3</v>
      </c>
      <c r="EK170" s="1">
        <v>2.0043000000000001E-3</v>
      </c>
      <c r="EY170" s="1">
        <v>1.1413375E-2</v>
      </c>
      <c r="FC170" s="1">
        <v>6.6810000000000003E-3</v>
      </c>
      <c r="FE170" s="1">
        <v>7.7945000000000002E-3</v>
      </c>
      <c r="FI170" s="1">
        <v>8.0172000000000004E-3</v>
      </c>
      <c r="FM170" s="1">
        <v>2.49424E-2</v>
      </c>
    </row>
    <row r="171" spans="1:174" x14ac:dyDescent="0.2">
      <c r="A171" s="1" t="s">
        <v>2117</v>
      </c>
      <c r="B171" s="1" t="s">
        <v>55</v>
      </c>
      <c r="C171" s="1" t="s">
        <v>2104</v>
      </c>
      <c r="E171" s="1">
        <v>37</v>
      </c>
      <c r="F171" s="1" t="s">
        <v>2118</v>
      </c>
      <c r="G171" s="1" t="s">
        <v>2119</v>
      </c>
      <c r="H171" s="1" t="s">
        <v>2120</v>
      </c>
      <c r="I171" s="1" t="s">
        <v>7</v>
      </c>
      <c r="J171" s="1" t="s">
        <v>2121</v>
      </c>
      <c r="K171" s="1" t="s">
        <v>2122</v>
      </c>
      <c r="O171" s="1">
        <v>1</v>
      </c>
      <c r="P171" s="1" t="s">
        <v>1270</v>
      </c>
      <c r="Q171" s="1">
        <v>2009</v>
      </c>
      <c r="R171" s="1" t="s">
        <v>2110</v>
      </c>
      <c r="S171" s="1" t="s">
        <v>27</v>
      </c>
      <c r="T171" s="6">
        <v>1</v>
      </c>
      <c r="U171" s="1">
        <v>77.819999999999993</v>
      </c>
      <c r="W171" s="1">
        <v>0.24</v>
      </c>
      <c r="Y171" s="1">
        <v>6.6368568000000003E-2</v>
      </c>
      <c r="Z171" s="1">
        <v>3.3531551999999999E-2</v>
      </c>
      <c r="AA171" s="1">
        <v>6.1619880000000002E-2</v>
      </c>
      <c r="AD171" s="1">
        <v>0.67300000000000004</v>
      </c>
      <c r="AF171" s="1">
        <v>4.7519183999999999E-2</v>
      </c>
      <c r="AG171" s="1">
        <v>6.4284959999999997E-3</v>
      </c>
      <c r="AQ171" s="1">
        <v>8.0760000000000006E-5</v>
      </c>
      <c r="AR171" s="1">
        <v>4.038E-4</v>
      </c>
      <c r="AS171" s="1">
        <v>1.13064E-4</v>
      </c>
      <c r="AT171" s="1">
        <v>3.2304000000000001E-5</v>
      </c>
      <c r="AU171" s="1">
        <v>3.7149600000000002E-4</v>
      </c>
      <c r="AV171" s="1">
        <v>9.6911999999999996E-5</v>
      </c>
      <c r="AW171" s="1">
        <v>7.7529599999999997E-3</v>
      </c>
      <c r="AY171" s="1">
        <v>1.3083120000000001E-3</v>
      </c>
      <c r="BA171" s="1">
        <v>3.1334880000000002E-2</v>
      </c>
      <c r="BD171" s="1">
        <v>3.1334879999999998E-3</v>
      </c>
      <c r="BG171" s="1">
        <v>2.0868384E-2</v>
      </c>
      <c r="BI171" s="1">
        <v>4.1995200000000002E-4</v>
      </c>
      <c r="BM171" s="1">
        <v>6.1377600000000001E-4</v>
      </c>
      <c r="BS171" s="1">
        <v>8.0760000000000006E-5</v>
      </c>
      <c r="BZ171" s="1">
        <v>4.3287359999999997E-3</v>
      </c>
      <c r="CK171" s="1">
        <v>1.7605679999999999E-2</v>
      </c>
      <c r="CM171" s="1">
        <v>4.7971439999999997E-3</v>
      </c>
      <c r="CV171" s="1">
        <v>1.8574799999999999E-3</v>
      </c>
      <c r="DB171" s="1">
        <v>1.728264E-3</v>
      </c>
      <c r="DE171" s="1">
        <v>3.1334879999999998E-3</v>
      </c>
      <c r="DN171" s="1">
        <v>1.6636559999999999E-3</v>
      </c>
      <c r="DR171" s="1">
        <v>4.8132959999999999E-3</v>
      </c>
      <c r="DT171" s="1">
        <v>1.7444159999999999E-3</v>
      </c>
      <c r="DY171" s="1">
        <v>2.4228000000000001E-3</v>
      </c>
      <c r="EH171" s="1">
        <v>1.8574799999999999E-3</v>
      </c>
      <c r="EK171" s="1">
        <v>2.0997600000000001E-4</v>
      </c>
      <c r="EY171" s="1">
        <v>3.1011839999999999E-3</v>
      </c>
      <c r="FC171" s="1">
        <v>4.3610399999999998E-4</v>
      </c>
      <c r="FE171" s="1">
        <v>9.804264E-3</v>
      </c>
      <c r="FI171" s="1">
        <v>2.8104480000000001E-3</v>
      </c>
      <c r="FM171" s="1">
        <v>3.2756255999999997E-2</v>
      </c>
    </row>
    <row r="172" spans="1:174" x14ac:dyDescent="0.2">
      <c r="A172" s="1" t="s">
        <v>2123</v>
      </c>
      <c r="B172" s="1" t="s">
        <v>55</v>
      </c>
      <c r="C172" s="1" t="s">
        <v>446</v>
      </c>
      <c r="D172" s="1" t="s">
        <v>2</v>
      </c>
      <c r="E172" s="1">
        <v>11</v>
      </c>
      <c r="F172" s="1" t="s">
        <v>2124</v>
      </c>
      <c r="G172" s="1" t="s">
        <v>2125</v>
      </c>
      <c r="H172" s="1" t="s">
        <v>2126</v>
      </c>
      <c r="I172" s="1" t="s">
        <v>7</v>
      </c>
      <c r="J172" s="1" t="s">
        <v>2127</v>
      </c>
      <c r="K172" s="1" t="s">
        <v>2128</v>
      </c>
      <c r="L172" s="1" t="s">
        <v>2127</v>
      </c>
      <c r="N172" s="1" t="s">
        <v>2129</v>
      </c>
      <c r="O172" s="1">
        <v>1</v>
      </c>
      <c r="P172" s="1" t="s">
        <v>1671</v>
      </c>
      <c r="Q172" s="1">
        <v>2011</v>
      </c>
      <c r="R172" s="1" t="s">
        <v>2130</v>
      </c>
      <c r="S172" s="1" t="s">
        <v>27</v>
      </c>
      <c r="T172" s="6">
        <v>1</v>
      </c>
      <c r="U172" s="1">
        <v>72.099999999999994</v>
      </c>
      <c r="V172" s="1">
        <v>3.11</v>
      </c>
      <c r="Y172" s="1">
        <v>0.75685641679784299</v>
      </c>
      <c r="Z172" s="1">
        <v>0.93113117363795395</v>
      </c>
      <c r="AA172" s="1">
        <v>1.0613407854399499</v>
      </c>
      <c r="AB172" s="1">
        <v>9.3016241242497993E-3</v>
      </c>
      <c r="AD172" s="1">
        <v>0.88701929260450196</v>
      </c>
      <c r="AF172" s="1">
        <v>0.67267935809467705</v>
      </c>
      <c r="AG172" s="1">
        <v>0.38367688357496099</v>
      </c>
      <c r="AW172" s="1">
        <v>3.2730699877029999E-2</v>
      </c>
      <c r="AY172" s="1">
        <v>5.1997704095000903E-3</v>
      </c>
      <c r="BA172" s="1">
        <v>0.55145736621102504</v>
      </c>
      <c r="BD172" s="1">
        <v>1.1009361014071299E-3</v>
      </c>
      <c r="BG172" s="1">
        <v>0.13519321828605901</v>
      </c>
      <c r="BI172" s="1">
        <v>9.42049128412383E-3</v>
      </c>
      <c r="BM172" s="1">
        <v>2.1753934628698599E-2</v>
      </c>
      <c r="BS172" s="1">
        <v>3.2713989444500399E-3</v>
      </c>
      <c r="BV172" s="1">
        <v>1.36773819073284E-3</v>
      </c>
      <c r="BX172" s="1">
        <v>2.7986934647499101E-2</v>
      </c>
      <c r="BZ172" s="1">
        <v>0.119630426532447</v>
      </c>
      <c r="CF172" s="1">
        <v>4.9523885525736598E-3</v>
      </c>
      <c r="CK172" s="1">
        <v>0.60706386915362798</v>
      </c>
      <c r="CM172" s="1">
        <v>0.108670224646311</v>
      </c>
      <c r="CZ172" s="1">
        <v>5.29063416805289E-2</v>
      </c>
      <c r="DD172" s="1">
        <v>5.2818512897830098E-3</v>
      </c>
      <c r="DN172" s="1">
        <v>0.345201295678215</v>
      </c>
      <c r="DU172" s="1">
        <v>4.9845437703156404E-3</v>
      </c>
      <c r="EF172" s="1">
        <v>4.6029476462656503E-2</v>
      </c>
      <c r="EK172" s="1">
        <v>2.02093604095403E-2</v>
      </c>
      <c r="EX172" s="1">
        <v>1.8266227487206702E-2</v>
      </c>
      <c r="FE172" s="1">
        <v>8.7154353276749502E-2</v>
      </c>
      <c r="FJ172" s="1">
        <v>4.0270089977178E-2</v>
      </c>
      <c r="FM172" s="1">
        <v>0.49922543837809302</v>
      </c>
    </row>
    <row r="173" spans="1:174" x14ac:dyDescent="0.2">
      <c r="A173" s="1" t="s">
        <v>2131</v>
      </c>
      <c r="B173" s="1" t="s">
        <v>55</v>
      </c>
      <c r="C173" s="1" t="s">
        <v>446</v>
      </c>
      <c r="D173" s="1" t="s">
        <v>2</v>
      </c>
      <c r="E173" s="1">
        <v>11</v>
      </c>
      <c r="F173" s="1" t="s">
        <v>2132</v>
      </c>
      <c r="G173" s="1" t="s">
        <v>2133</v>
      </c>
      <c r="H173" s="1" t="s">
        <v>2134</v>
      </c>
      <c r="I173" s="1" t="s">
        <v>7</v>
      </c>
      <c r="J173" s="1" t="s">
        <v>2135</v>
      </c>
      <c r="K173" s="1" t="s">
        <v>2136</v>
      </c>
      <c r="L173" s="1" t="s">
        <v>2135</v>
      </c>
      <c r="N173" s="1" t="s">
        <v>2137</v>
      </c>
      <c r="O173" s="1">
        <v>1</v>
      </c>
      <c r="P173" s="1" t="s">
        <v>1671</v>
      </c>
      <c r="Q173" s="1">
        <v>2011</v>
      </c>
      <c r="R173" s="1" t="s">
        <v>2130</v>
      </c>
      <c r="S173" s="1" t="s">
        <v>27</v>
      </c>
      <c r="T173" s="6">
        <v>1</v>
      </c>
      <c r="U173" s="1">
        <v>74.98</v>
      </c>
      <c r="V173" s="1">
        <v>2.82</v>
      </c>
      <c r="Y173" s="1">
        <v>0.68902964552921198</v>
      </c>
      <c r="Z173" s="1">
        <v>0.85478819819522101</v>
      </c>
      <c r="AA173" s="1">
        <v>0.69319336303163903</v>
      </c>
      <c r="AB173" s="1">
        <v>0.25104879324392798</v>
      </c>
      <c r="AD173" s="1">
        <v>0.88229078014184403</v>
      </c>
      <c r="AF173" s="1">
        <v>0.34636319576437402</v>
      </c>
      <c r="AG173" s="1">
        <v>0.34582971249175198</v>
      </c>
      <c r="AW173" s="1">
        <v>2.6852523489885101E-2</v>
      </c>
      <c r="AY173" s="1">
        <v>2.2246292242518802E-3</v>
      </c>
      <c r="BA173" s="1">
        <v>0.49584571281803302</v>
      </c>
      <c r="BD173" s="1">
        <v>1.7401421361032501E-3</v>
      </c>
      <c r="BG173" s="1">
        <v>0.14453445244573199</v>
      </c>
      <c r="BI173" s="1">
        <v>8.0080942297790104E-3</v>
      </c>
      <c r="BM173" s="1">
        <v>9.82409118542742E-3</v>
      </c>
      <c r="BS173" s="1">
        <v>8.6179678365911408E-3</v>
      </c>
      <c r="BX173" s="1">
        <v>2.5030014263065802E-2</v>
      </c>
      <c r="BZ173" s="1">
        <v>7.1620535861643797E-2</v>
      </c>
      <c r="CF173" s="1">
        <v>5.4670047114820496E-3</v>
      </c>
      <c r="CK173" s="1">
        <v>0.62477901858057705</v>
      </c>
      <c r="CM173" s="1">
        <v>7.4236103483657098E-2</v>
      </c>
      <c r="CZ173" s="1">
        <v>4.3782138975978102E-2</v>
      </c>
      <c r="DD173" s="1">
        <v>1.25541448222577E-3</v>
      </c>
      <c r="DN173" s="1">
        <v>0.30107795012998501</v>
      </c>
      <c r="DU173" s="1">
        <v>1.00045477551314E-3</v>
      </c>
      <c r="EF173" s="1">
        <v>3.4603412170047698E-2</v>
      </c>
      <c r="EK173" s="1">
        <v>2.4254146955218499E-2</v>
      </c>
      <c r="EX173" s="1">
        <v>2.0497615406548299E-2</v>
      </c>
      <c r="FE173" s="1">
        <v>6.2724443035571495E-2</v>
      </c>
      <c r="FJ173" s="1">
        <v>4.6656494290190399E-2</v>
      </c>
      <c r="FM173" s="1">
        <v>0.202378846268565</v>
      </c>
    </row>
    <row r="174" spans="1:174" x14ac:dyDescent="0.2">
      <c r="A174" s="1" t="s">
        <v>2138</v>
      </c>
      <c r="B174" s="1" t="s">
        <v>55</v>
      </c>
      <c r="C174" s="1" t="s">
        <v>446</v>
      </c>
      <c r="D174" s="1" t="s">
        <v>2</v>
      </c>
      <c r="E174" s="1">
        <v>11</v>
      </c>
      <c r="F174" s="1" t="s">
        <v>2139</v>
      </c>
      <c r="G174" s="1" t="s">
        <v>2140</v>
      </c>
      <c r="H174" s="1" t="s">
        <v>2141</v>
      </c>
      <c r="I174" s="1" t="s">
        <v>7</v>
      </c>
      <c r="J174" s="1" t="s">
        <v>2142</v>
      </c>
      <c r="K174" s="1" t="s">
        <v>2143</v>
      </c>
      <c r="L174" s="1" t="s">
        <v>2142</v>
      </c>
      <c r="N174" s="1" t="s">
        <v>2144</v>
      </c>
      <c r="O174" s="1">
        <v>1</v>
      </c>
      <c r="P174" s="1" t="s">
        <v>1671</v>
      </c>
      <c r="Q174" s="1">
        <v>2011</v>
      </c>
      <c r="R174" s="1" t="s">
        <v>2130</v>
      </c>
      <c r="S174" s="1" t="s">
        <v>27</v>
      </c>
      <c r="T174" s="6">
        <v>1</v>
      </c>
      <c r="U174" s="1">
        <v>76.05</v>
      </c>
      <c r="V174" s="1">
        <v>2.82</v>
      </c>
      <c r="Y174" s="1">
        <v>0.79506203620000004</v>
      </c>
      <c r="Z174" s="1">
        <v>0.81610791424649298</v>
      </c>
      <c r="AA174" s="1">
        <v>0.87689004955350802</v>
      </c>
      <c r="AD174" s="1">
        <v>0.88229078014184403</v>
      </c>
      <c r="AF174" s="1">
        <v>0.501019076336786</v>
      </c>
      <c r="AG174" s="1">
        <v>0.37202907795273499</v>
      </c>
      <c r="AW174" s="1">
        <v>0.123693923215727</v>
      </c>
      <c r="AY174" s="1">
        <v>2.6103328092399198E-3</v>
      </c>
      <c r="BA174" s="1">
        <v>0.48412285272407202</v>
      </c>
      <c r="BD174" s="1">
        <v>2.3865731561678499E-4</v>
      </c>
      <c r="BG174" s="1">
        <v>0.163160801791911</v>
      </c>
      <c r="BI174" s="1">
        <v>6.96731205859489E-3</v>
      </c>
      <c r="BM174" s="1">
        <v>1.4268156284838501E-2</v>
      </c>
      <c r="BS174" s="1">
        <v>1.8911016770695301E-3</v>
      </c>
      <c r="BV174" s="1">
        <v>1.6603652637405999E-3</v>
      </c>
      <c r="BX174" s="1">
        <v>2.1412644214460898E-2</v>
      </c>
      <c r="BZ174" s="1">
        <v>7.4944254750613101E-2</v>
      </c>
      <c r="CF174" s="1">
        <v>1.98012646341083E-2</v>
      </c>
      <c r="CK174" s="1">
        <v>0.58259165105921795</v>
      </c>
      <c r="CM174" s="1">
        <v>6.7203716727274307E-2</v>
      </c>
      <c r="CZ174" s="1">
        <v>4.4674524523753499E-2</v>
      </c>
      <c r="DD174" s="1">
        <v>1.92839139625465E-3</v>
      </c>
      <c r="DN174" s="1">
        <v>0.306259696362919</v>
      </c>
      <c r="DU174" s="1">
        <v>3.8418952639867302E-3</v>
      </c>
      <c r="EF174" s="1">
        <v>3.0830594842265299E-2</v>
      </c>
      <c r="EK174" s="1">
        <v>5.0410572926065302E-2</v>
      </c>
      <c r="EX174" s="1">
        <v>1.5358808663750501E-2</v>
      </c>
      <c r="FE174" s="1">
        <v>7.3173023391519196E-2</v>
      </c>
      <c r="FJ174" s="1">
        <v>2.62490581689513E-2</v>
      </c>
      <c r="FM174" s="1">
        <v>0.37076639993404997</v>
      </c>
    </row>
    <row r="175" spans="1:174" x14ac:dyDescent="0.2">
      <c r="A175" s="1" t="s">
        <v>2145</v>
      </c>
      <c r="B175" s="1" t="s">
        <v>55</v>
      </c>
      <c r="C175" s="1" t="s">
        <v>2146</v>
      </c>
      <c r="D175" s="1" t="s">
        <v>2</v>
      </c>
      <c r="E175" s="1">
        <v>33</v>
      </c>
      <c r="F175" s="1" t="s">
        <v>1289</v>
      </c>
      <c r="H175" s="1" t="s">
        <v>2147</v>
      </c>
      <c r="I175" s="1" t="s">
        <v>7</v>
      </c>
      <c r="J175" s="1" t="s">
        <v>1291</v>
      </c>
      <c r="K175" s="1" t="s">
        <v>1292</v>
      </c>
      <c r="L175" s="1" t="s">
        <v>1291</v>
      </c>
      <c r="M175" s="1" t="s">
        <v>2148</v>
      </c>
      <c r="N175" s="1" t="s">
        <v>2149</v>
      </c>
      <c r="P175" s="1" t="s">
        <v>2150</v>
      </c>
      <c r="Q175" s="1">
        <v>2002</v>
      </c>
      <c r="R175" s="1" t="s">
        <v>2151</v>
      </c>
      <c r="S175" s="1" t="s">
        <v>27</v>
      </c>
      <c r="T175" s="6">
        <v>1</v>
      </c>
      <c r="U175" s="1">
        <v>72.2</v>
      </c>
      <c r="V175" s="1">
        <v>5.2</v>
      </c>
      <c r="Y175" s="1">
        <v>1.3749112000000001</v>
      </c>
      <c r="Z175" s="1">
        <v>1.6291755999999999</v>
      </c>
      <c r="AA175" s="1">
        <v>1.6998046</v>
      </c>
      <c r="AD175" s="1">
        <v>0.90549999999999997</v>
      </c>
      <c r="AF175" s="1">
        <v>1.2619047999999999</v>
      </c>
      <c r="AG175" s="1">
        <v>0.43789980000000001</v>
      </c>
      <c r="AW175" s="1">
        <v>0.1459666</v>
      </c>
      <c r="AY175" s="1">
        <v>2.8251600000000002E-2</v>
      </c>
      <c r="BA175" s="1">
        <v>0.96526299999999998</v>
      </c>
      <c r="BG175" s="1">
        <v>0.2165956</v>
      </c>
      <c r="BI175" s="1">
        <v>1.8834400000000001E-2</v>
      </c>
      <c r="BZ175" s="1">
        <v>0.21188699999999999</v>
      </c>
      <c r="CK175" s="1">
        <v>0.98409740000000001</v>
      </c>
      <c r="CV175" s="1">
        <v>0.21188699999999999</v>
      </c>
      <c r="DB175" s="1">
        <v>0.1977612</v>
      </c>
      <c r="DE175" s="1">
        <v>2.3543000000000001E-2</v>
      </c>
      <c r="DN175" s="1">
        <v>0.26839020000000002</v>
      </c>
      <c r="DT175" s="1">
        <v>9.8880599999999999E-2</v>
      </c>
      <c r="EH175" s="1">
        <v>7.5337600000000005E-2</v>
      </c>
      <c r="EK175" s="1">
        <v>1.8834400000000001E-2</v>
      </c>
      <c r="EX175" s="1">
        <v>5.1794600000000003E-2</v>
      </c>
      <c r="FE175" s="1">
        <v>0.28251599999999999</v>
      </c>
      <c r="FJ175" s="1">
        <v>5.1794600000000003E-2</v>
      </c>
      <c r="FM175" s="1">
        <v>0.85225660000000003</v>
      </c>
    </row>
    <row r="176" spans="1:174" x14ac:dyDescent="0.2">
      <c r="A176" s="1" t="s">
        <v>2152</v>
      </c>
      <c r="B176" s="1" t="s">
        <v>55</v>
      </c>
      <c r="C176" s="1" t="s">
        <v>1279</v>
      </c>
      <c r="D176" s="1" t="s">
        <v>2</v>
      </c>
      <c r="E176" s="1">
        <v>11</v>
      </c>
      <c r="F176" s="1" t="s">
        <v>1390</v>
      </c>
      <c r="H176" s="1" t="s">
        <v>2153</v>
      </c>
      <c r="I176" s="1" t="s">
        <v>7</v>
      </c>
      <c r="J176" s="1" t="s">
        <v>1393</v>
      </c>
      <c r="K176" s="1" t="s">
        <v>1394</v>
      </c>
      <c r="L176" s="1" t="s">
        <v>1393</v>
      </c>
      <c r="O176" s="1">
        <v>1</v>
      </c>
      <c r="P176" s="1" t="s">
        <v>1671</v>
      </c>
      <c r="Q176" s="1">
        <v>2011</v>
      </c>
      <c r="R176" s="1" t="s">
        <v>2154</v>
      </c>
      <c r="S176" s="1" t="s">
        <v>27</v>
      </c>
      <c r="T176" s="6">
        <v>1</v>
      </c>
      <c r="U176" s="1">
        <v>77.7</v>
      </c>
      <c r="W176" s="1">
        <v>5.0999999999999996</v>
      </c>
      <c r="Y176" s="1">
        <v>1.24270527139253</v>
      </c>
      <c r="Z176" s="1">
        <v>2.3591865721079799</v>
      </c>
      <c r="AA176" s="1">
        <v>1.0134081564994899</v>
      </c>
      <c r="AD176" s="1">
        <v>0.90496078431372595</v>
      </c>
      <c r="AF176" s="1">
        <v>0.53710427928626703</v>
      </c>
      <c r="AG176" s="1">
        <v>0.47630387721322098</v>
      </c>
      <c r="AW176" s="1">
        <v>5.94048765895447E-2</v>
      </c>
      <c r="AY176" s="1">
        <v>2.2924785007399699E-2</v>
      </c>
      <c r="BA176" s="1">
        <v>0.87375627224347696</v>
      </c>
      <c r="BD176" s="1">
        <v>9.2222484347597496E-3</v>
      </c>
      <c r="BG176" s="1">
        <v>0.26809673190690297</v>
      </c>
      <c r="BI176" s="1">
        <v>4.6419379935823298E-3</v>
      </c>
      <c r="BK176" s="1">
        <v>4.6584192168683198E-3</v>
      </c>
      <c r="BL176" s="1">
        <v>0</v>
      </c>
      <c r="BS176" s="1">
        <v>4.5672729108087503E-3</v>
      </c>
      <c r="CA176" s="1">
        <v>0.45049081171032301</v>
      </c>
      <c r="CI176" s="1">
        <v>1.8252238646622101</v>
      </c>
      <c r="CJ176" s="1">
        <v>4.6208199105372298E-3</v>
      </c>
      <c r="CZ176" s="1">
        <v>6.4969137402091606E-2</v>
      </c>
      <c r="DD176" s="1">
        <v>9.3146655120085308E-3</v>
      </c>
      <c r="DK176" s="1">
        <v>0.33720627539368703</v>
      </c>
      <c r="DT176" s="1">
        <v>5.5672260391293298E-2</v>
      </c>
      <c r="ED176" s="1">
        <v>9.2353691541538496E-3</v>
      </c>
      <c r="EH176" s="1">
        <v>0.27244339004753898</v>
      </c>
      <c r="EK176" s="1">
        <v>9.2760782699037592E-3</v>
      </c>
      <c r="EL176" s="1">
        <v>4.6380391349518796E-3</v>
      </c>
      <c r="ET176" s="1">
        <v>1.38482500810507E-2</v>
      </c>
      <c r="EX176" s="1">
        <v>6.4913894004183195E-2</v>
      </c>
      <c r="FE176" s="1">
        <v>0.10661322154194</v>
      </c>
      <c r="FJ176" s="1">
        <v>4.1875673695916001E-2</v>
      </c>
      <c r="FM176" s="1">
        <v>9.7685704784869598E-2</v>
      </c>
    </row>
    <row r="177" spans="1:169" x14ac:dyDescent="0.2">
      <c r="A177" s="1" t="s">
        <v>2155</v>
      </c>
      <c r="B177" s="1" t="s">
        <v>55</v>
      </c>
      <c r="C177" s="1" t="s">
        <v>1279</v>
      </c>
      <c r="D177" s="1" t="s">
        <v>2</v>
      </c>
      <c r="E177" s="1">
        <v>23</v>
      </c>
      <c r="F177" s="1" t="s">
        <v>1472</v>
      </c>
      <c r="H177" s="1" t="s">
        <v>2156</v>
      </c>
      <c r="I177" s="1" t="s">
        <v>7</v>
      </c>
      <c r="J177" s="1" t="s">
        <v>1474</v>
      </c>
      <c r="K177" s="1" t="s">
        <v>1475</v>
      </c>
      <c r="L177" s="1" t="s">
        <v>1474</v>
      </c>
      <c r="O177" s="1">
        <v>1</v>
      </c>
      <c r="P177" s="1" t="s">
        <v>1671</v>
      </c>
      <c r="Q177" s="1">
        <v>2011</v>
      </c>
      <c r="R177" s="1" t="s">
        <v>2154</v>
      </c>
      <c r="S177" s="1" t="s">
        <v>27</v>
      </c>
      <c r="T177" s="6">
        <v>1</v>
      </c>
      <c r="U177" s="1">
        <v>73</v>
      </c>
      <c r="W177" s="1">
        <v>7.4</v>
      </c>
      <c r="Y177" s="1">
        <v>1.4855618961919499</v>
      </c>
      <c r="Z177" s="1">
        <v>2.1357526122934001</v>
      </c>
      <c r="AA177" s="1">
        <v>3.1398854915146499</v>
      </c>
      <c r="AD177" s="1">
        <v>0.91367567567567598</v>
      </c>
      <c r="AF177" s="1">
        <v>2.5448795843662602</v>
      </c>
      <c r="AG177" s="1">
        <v>0.59500590714839396</v>
      </c>
      <c r="AU177" s="1">
        <v>6.6280349365994903E-3</v>
      </c>
      <c r="AW177" s="1">
        <v>0.28731497877527901</v>
      </c>
      <c r="AY177" s="1">
        <v>2.0112570921103801E-2</v>
      </c>
      <c r="BA177" s="1">
        <v>0.90105763387814197</v>
      </c>
      <c r="BD177" s="1">
        <v>6.7424523878222096E-3</v>
      </c>
      <c r="BG177" s="1">
        <v>0.24331960000196101</v>
      </c>
      <c r="BI177" s="1">
        <v>1.35750174723057E-2</v>
      </c>
      <c r="BK177" s="1">
        <v>6.8116078187323197E-3</v>
      </c>
      <c r="BL177" s="1">
        <v>0</v>
      </c>
      <c r="CA177" s="1">
        <v>0.38985124186372599</v>
      </c>
      <c r="CI177" s="1">
        <v>1.3580825436313</v>
      </c>
      <c r="CZ177" s="1">
        <v>0.11535569843601599</v>
      </c>
      <c r="DD177" s="1">
        <v>0.25197070965906998</v>
      </c>
      <c r="DF177" s="1">
        <v>2.0492418703291701E-2</v>
      </c>
      <c r="DK177" s="1">
        <v>0.43903304662334203</v>
      </c>
      <c r="DT177" s="1">
        <v>0.108539710293332</v>
      </c>
      <c r="ED177" s="1">
        <v>6.7520450404637599E-3</v>
      </c>
      <c r="EH177" s="1">
        <v>0.48614724291339101</v>
      </c>
      <c r="EK177" s="1">
        <v>6.7818077687870999E-3</v>
      </c>
      <c r="EL177" s="1">
        <v>3.39090388439355E-2</v>
      </c>
      <c r="ET177" s="1">
        <v>3.3748518591269802E-2</v>
      </c>
      <c r="EX177" s="1">
        <v>3.3899297422468597E-2</v>
      </c>
      <c r="FE177" s="1">
        <v>0.54223092660363204</v>
      </c>
      <c r="FJ177" s="1">
        <v>0.258531794612474</v>
      </c>
      <c r="FM177" s="1">
        <v>1.19031206280156</v>
      </c>
    </row>
    <row r="178" spans="1:169" x14ac:dyDescent="0.2">
      <c r="A178" s="1" t="s">
        <v>2157</v>
      </c>
      <c r="B178" s="1" t="s">
        <v>55</v>
      </c>
      <c r="C178" s="1" t="s">
        <v>1344</v>
      </c>
      <c r="D178" s="1" t="s">
        <v>2</v>
      </c>
      <c r="E178" s="1">
        <v>13</v>
      </c>
      <c r="F178" s="1" t="s">
        <v>1266</v>
      </c>
      <c r="H178" s="1" t="s">
        <v>2158</v>
      </c>
      <c r="I178" s="1" t="s">
        <v>7</v>
      </c>
      <c r="J178" s="1" t="s">
        <v>1268</v>
      </c>
      <c r="K178" s="1" t="s">
        <v>1269</v>
      </c>
      <c r="L178" s="1" t="s">
        <v>1268</v>
      </c>
      <c r="O178" s="1">
        <v>1</v>
      </c>
      <c r="P178" s="1" t="s">
        <v>1671</v>
      </c>
      <c r="Q178" s="1">
        <v>2011</v>
      </c>
      <c r="R178" s="1" t="s">
        <v>2154</v>
      </c>
      <c r="S178" s="1" t="s">
        <v>27</v>
      </c>
      <c r="T178" s="6">
        <v>1</v>
      </c>
      <c r="U178" s="1">
        <v>84.7</v>
      </c>
      <c r="W178" s="1">
        <v>1.3</v>
      </c>
      <c r="Y178" s="1">
        <v>0.450251290768863</v>
      </c>
      <c r="Z178" s="1">
        <v>0.43076598193721799</v>
      </c>
      <c r="AA178" s="1">
        <v>0.188882727293919</v>
      </c>
      <c r="AD178" s="1">
        <v>0.82299999999999995</v>
      </c>
      <c r="AF178" s="1">
        <v>4.1948552516425298E-2</v>
      </c>
      <c r="AG178" s="1">
        <v>0.14693417477749299</v>
      </c>
      <c r="AU178" s="1">
        <v>6.3073448572998096E-3</v>
      </c>
      <c r="AW178" s="1">
        <v>4.6628669815853098E-2</v>
      </c>
      <c r="AY178" s="1">
        <v>2.1266051783531302E-3</v>
      </c>
      <c r="BA178" s="1">
        <v>0.289019802898766</v>
      </c>
      <c r="BD178" s="1">
        <v>6.4162263477352301E-3</v>
      </c>
      <c r="BG178" s="1">
        <v>9.1117974358852202E-2</v>
      </c>
      <c r="BI178" s="1">
        <v>2.1530342316318199E-3</v>
      </c>
      <c r="BJ178" s="1">
        <v>2.1570138873391802E-3</v>
      </c>
      <c r="BK178" s="1">
        <v>3.24101788511896E-3</v>
      </c>
      <c r="BL178" s="1">
        <v>0</v>
      </c>
      <c r="BM178" s="1">
        <v>1.08360130791453E-3</v>
      </c>
      <c r="CA178" s="1">
        <v>1.1726655077190401E-2</v>
      </c>
      <c r="CI178" s="1">
        <v>0.40935868612103599</v>
      </c>
      <c r="CJ178" s="1">
        <v>2.1432391943509801E-3</v>
      </c>
      <c r="CZ178" s="1">
        <v>6.4573142119744202E-3</v>
      </c>
      <c r="DD178" s="1">
        <v>1.0800873326658701E-3</v>
      </c>
      <c r="DK178" s="1">
        <v>0.101769583622695</v>
      </c>
      <c r="DT178" s="1">
        <v>2.2594280066414299E-2</v>
      </c>
      <c r="ED178" s="1">
        <v>3.2126774352878801E-3</v>
      </c>
      <c r="EH178" s="1">
        <v>1.49924946980101E-2</v>
      </c>
      <c r="EK178" s="1">
        <v>7.5292904895581598E-3</v>
      </c>
      <c r="EL178" s="1">
        <v>1.0756129270797399E-3</v>
      </c>
      <c r="EX178" s="1">
        <v>1.1828343163538001E-2</v>
      </c>
      <c r="FE178" s="1">
        <v>3.2249730492302001E-3</v>
      </c>
      <c r="FJ178" s="1">
        <v>4.3161933688808099E-3</v>
      </c>
      <c r="FM178" s="1">
        <v>1.8339278473224498E-2</v>
      </c>
    </row>
    <row r="179" spans="1:169" x14ac:dyDescent="0.2">
      <c r="A179" s="1" t="s">
        <v>2159</v>
      </c>
      <c r="B179" s="1" t="s">
        <v>55</v>
      </c>
      <c r="C179" s="1" t="s">
        <v>2160</v>
      </c>
      <c r="D179" s="1" t="s">
        <v>2</v>
      </c>
      <c r="E179" s="1">
        <v>12</v>
      </c>
      <c r="F179" s="1" t="s">
        <v>1374</v>
      </c>
      <c r="H179" s="1" t="s">
        <v>2161</v>
      </c>
      <c r="I179" s="1" t="s">
        <v>7</v>
      </c>
      <c r="J179" s="1" t="s">
        <v>1376</v>
      </c>
      <c r="K179" s="1" t="s">
        <v>1377</v>
      </c>
      <c r="L179" s="1" t="s">
        <v>1376</v>
      </c>
      <c r="O179" s="1">
        <v>1</v>
      </c>
      <c r="P179" s="1" t="s">
        <v>1671</v>
      </c>
      <c r="Q179" s="1">
        <v>2011</v>
      </c>
      <c r="R179" s="1" t="s">
        <v>2154</v>
      </c>
      <c r="S179" s="1" t="s">
        <v>27</v>
      </c>
      <c r="T179" s="6">
        <v>1</v>
      </c>
      <c r="U179" s="1">
        <v>81.2</v>
      </c>
      <c r="W179" s="1">
        <v>2</v>
      </c>
      <c r="Y179" s="1">
        <v>0.60803339541166801</v>
      </c>
      <c r="Z179" s="1">
        <v>0.57071466302795104</v>
      </c>
      <c r="AA179" s="1">
        <v>0.54425194156038104</v>
      </c>
      <c r="AD179" s="1">
        <v>0.86150000000000004</v>
      </c>
      <c r="AF179" s="1">
        <v>0.171362466819727</v>
      </c>
      <c r="AG179" s="1">
        <v>0.37288947474065298</v>
      </c>
      <c r="AU179" s="1">
        <v>3.3844059745637201E-3</v>
      </c>
      <c r="AW179" s="1">
        <v>5.1177460943260297E-2</v>
      </c>
      <c r="AY179" s="1">
        <v>6.84658483148583E-3</v>
      </c>
      <c r="BA179" s="1">
        <v>0.42404543649127302</v>
      </c>
      <c r="BD179" s="1">
        <v>6.8856595847288397E-3</v>
      </c>
      <c r="BG179" s="1">
        <v>0.103536507659285</v>
      </c>
      <c r="BI179" s="1">
        <v>5.1987546849348804E-3</v>
      </c>
      <c r="BJ179" s="1">
        <v>1.7361213440895201E-3</v>
      </c>
      <c r="BK179" s="1">
        <v>3.4781419257168401E-3</v>
      </c>
      <c r="BL179" s="1">
        <v>0</v>
      </c>
      <c r="BM179" s="1">
        <v>1.7443219723303699E-3</v>
      </c>
      <c r="BS179" s="1">
        <v>1.70504442148017E-3</v>
      </c>
      <c r="CA179" s="1">
        <v>7.8939873946199002E-2</v>
      </c>
      <c r="CI179" s="1">
        <v>0.45885916937431598</v>
      </c>
      <c r="CJ179" s="1">
        <v>5.17510341399604E-3</v>
      </c>
      <c r="CZ179" s="1">
        <v>1.3859507157499701E-2</v>
      </c>
      <c r="DD179" s="1">
        <v>1.04319922058642E-2</v>
      </c>
      <c r="DF179" s="1">
        <v>1.74397250859655E-3</v>
      </c>
      <c r="DK179" s="1">
        <v>0.25694359229123698</v>
      </c>
      <c r="DT179" s="1">
        <v>5.5422526813450203E-2</v>
      </c>
      <c r="ED179" s="1">
        <v>1.55147759589765E-2</v>
      </c>
      <c r="EH179" s="1">
        <v>6.7230695822231498E-2</v>
      </c>
      <c r="EK179" s="1">
        <v>1.21202390040215E-2</v>
      </c>
      <c r="EL179" s="1">
        <v>8.6573135743010492E-3</v>
      </c>
      <c r="ET179" s="1">
        <v>1.7232662326847701E-3</v>
      </c>
      <c r="EX179" s="1">
        <v>3.2888340672968197E-2</v>
      </c>
      <c r="FE179" s="1">
        <v>8.6523079858156597E-3</v>
      </c>
      <c r="FJ179" s="1">
        <v>2.9528878582459998E-2</v>
      </c>
      <c r="FM179" s="1">
        <v>5.5570004622234402E-2</v>
      </c>
    </row>
    <row r="180" spans="1:169" x14ac:dyDescent="0.2">
      <c r="A180" s="1" t="s">
        <v>2162</v>
      </c>
      <c r="B180" s="1" t="s">
        <v>55</v>
      </c>
      <c r="C180" s="1" t="s">
        <v>2163</v>
      </c>
      <c r="E180" s="1">
        <v>11</v>
      </c>
      <c r="F180" s="1" t="s">
        <v>2124</v>
      </c>
      <c r="H180" s="1" t="s">
        <v>2164</v>
      </c>
      <c r="I180" s="1" t="s">
        <v>7</v>
      </c>
      <c r="J180" s="1" t="s">
        <v>2165</v>
      </c>
      <c r="K180" s="1" t="s">
        <v>2128</v>
      </c>
      <c r="L180" s="1" t="s">
        <v>2165</v>
      </c>
      <c r="M180" s="1" t="s">
        <v>2166</v>
      </c>
      <c r="O180" s="1">
        <v>1</v>
      </c>
      <c r="P180" s="1" t="s">
        <v>1270</v>
      </c>
      <c r="Q180" s="1">
        <v>2010</v>
      </c>
      <c r="R180" s="1" t="s">
        <v>2167</v>
      </c>
      <c r="S180" s="1" t="s">
        <v>27</v>
      </c>
      <c r="T180" s="6">
        <v>1</v>
      </c>
      <c r="V180" s="1">
        <v>2.9</v>
      </c>
      <c r="Y180" s="1">
        <v>0.79327420000000004</v>
      </c>
      <c r="Z180" s="1">
        <v>0.77034720000000001</v>
      </c>
      <c r="AA180" s="1">
        <v>0.57546770000000003</v>
      </c>
      <c r="AD180" s="1">
        <v>0.79058620689655201</v>
      </c>
      <c r="AW180" s="1">
        <v>4.8146700000000001E-2</v>
      </c>
      <c r="AY180" s="1">
        <v>2.5219700000000001E-2</v>
      </c>
      <c r="BA180" s="1">
        <v>0.55483340000000003</v>
      </c>
      <c r="BG180" s="1">
        <v>0.12380579999999999</v>
      </c>
      <c r="BI180" s="1">
        <v>4.1268600000000003E-2</v>
      </c>
      <c r="CA180" s="1">
        <v>9.8586099999999996E-2</v>
      </c>
      <c r="CK180" s="1">
        <v>0.62132169999999998</v>
      </c>
      <c r="CM180" s="1">
        <v>5.0439400000000002E-2</v>
      </c>
      <c r="DN180" s="1">
        <v>0.3255634</v>
      </c>
      <c r="EH180" s="1">
        <v>6.64883E-2</v>
      </c>
      <c r="FE180" s="1">
        <v>3.6683199999999999E-2</v>
      </c>
      <c r="FJ180" s="1">
        <v>2.2926999999999999E-2</v>
      </c>
      <c r="FM180" s="1">
        <v>0.12380579999999999</v>
      </c>
    </row>
    <row r="181" spans="1:169" x14ac:dyDescent="0.2">
      <c r="A181" s="1" t="s">
        <v>2168</v>
      </c>
      <c r="B181" s="1" t="s">
        <v>55</v>
      </c>
      <c r="C181" s="1" t="s">
        <v>2163</v>
      </c>
      <c r="E181" s="1">
        <v>11</v>
      </c>
      <c r="F181" s="1" t="s">
        <v>2139</v>
      </c>
      <c r="H181" s="1" t="s">
        <v>2169</v>
      </c>
      <c r="I181" s="1" t="s">
        <v>7</v>
      </c>
      <c r="J181" s="1" t="s">
        <v>2142</v>
      </c>
      <c r="K181" s="1" t="s">
        <v>2143</v>
      </c>
      <c r="L181" s="1" t="s">
        <v>2142</v>
      </c>
      <c r="M181" s="1" t="s">
        <v>2166</v>
      </c>
      <c r="O181" s="1">
        <v>1</v>
      </c>
      <c r="P181" s="1" t="s">
        <v>1270</v>
      </c>
      <c r="Q181" s="1">
        <v>2010</v>
      </c>
      <c r="R181" s="1" t="s">
        <v>2167</v>
      </c>
      <c r="S181" s="1" t="s">
        <v>27</v>
      </c>
      <c r="T181" s="6">
        <v>1</v>
      </c>
      <c r="V181" s="1">
        <v>1.2</v>
      </c>
      <c r="Y181" s="1">
        <v>0.27204099999999998</v>
      </c>
      <c r="Z181" s="1">
        <v>0.16181139999999999</v>
      </c>
      <c r="AA181" s="1">
        <v>0.166051</v>
      </c>
      <c r="AD181" s="1">
        <v>0.58883333333333299</v>
      </c>
      <c r="AW181" s="1">
        <v>2.5437600000000001E-2</v>
      </c>
      <c r="AY181" s="1">
        <v>3.3210200000000002E-2</v>
      </c>
      <c r="BA181" s="1">
        <v>0.17029059999999999</v>
      </c>
      <c r="BG181" s="1">
        <v>4.3102599999999998E-2</v>
      </c>
      <c r="CA181" s="1">
        <v>5.1581799999999997E-2</v>
      </c>
      <c r="CK181" s="1">
        <v>9.0444800000000006E-2</v>
      </c>
      <c r="CM181" s="1">
        <v>1.9784800000000002E-2</v>
      </c>
      <c r="DN181" s="1">
        <v>3.0383799999999999E-2</v>
      </c>
      <c r="EH181" s="1">
        <v>3.9569600000000003E-2</v>
      </c>
      <c r="FE181" s="1">
        <v>3.7449799999999998E-2</v>
      </c>
      <c r="FJ181" s="1">
        <v>1.4132E-2</v>
      </c>
      <c r="FM181" s="1">
        <v>4.4515800000000001E-2</v>
      </c>
    </row>
    <row r="182" spans="1:169" x14ac:dyDescent="0.2">
      <c r="A182" s="1" t="s">
        <v>2170</v>
      </c>
      <c r="B182" s="1" t="s">
        <v>55</v>
      </c>
      <c r="C182" s="1" t="s">
        <v>2163</v>
      </c>
      <c r="E182" s="1">
        <v>11</v>
      </c>
      <c r="F182" s="1" t="s">
        <v>2132</v>
      </c>
      <c r="H182" s="1" t="s">
        <v>2171</v>
      </c>
      <c r="I182" s="1" t="s">
        <v>7</v>
      </c>
      <c r="J182" s="1" t="s">
        <v>2135</v>
      </c>
      <c r="K182" s="1" t="s">
        <v>2136</v>
      </c>
      <c r="L182" s="1" t="s">
        <v>2135</v>
      </c>
      <c r="M182" s="1" t="s">
        <v>2166</v>
      </c>
      <c r="O182" s="1">
        <v>1</v>
      </c>
      <c r="P182" s="1" t="s">
        <v>1270</v>
      </c>
      <c r="Q182" s="1">
        <v>2010</v>
      </c>
      <c r="R182" s="1" t="s">
        <v>2167</v>
      </c>
      <c r="S182" s="1" t="s">
        <v>27</v>
      </c>
      <c r="T182" s="6">
        <v>1</v>
      </c>
      <c r="V182" s="1">
        <v>1.8</v>
      </c>
      <c r="Y182" s="1">
        <v>0.49896160000000001</v>
      </c>
      <c r="Z182" s="1">
        <v>0.43944080000000002</v>
      </c>
      <c r="AA182" s="1">
        <v>0.15323439999999999</v>
      </c>
      <c r="AD182" s="1">
        <v>0.70355555555555604</v>
      </c>
      <c r="AW182" s="1">
        <v>6.20536E-2</v>
      </c>
      <c r="AY182" s="1">
        <v>4.8123199999999998E-2</v>
      </c>
      <c r="BA182" s="1">
        <v>0.322932</v>
      </c>
      <c r="BG182" s="1">
        <v>4.6856799999999997E-2</v>
      </c>
      <c r="BI182" s="1">
        <v>1.8995999999999999E-2</v>
      </c>
      <c r="CA182" s="1">
        <v>0.1570336</v>
      </c>
      <c r="CK182" s="1">
        <v>0.2013576</v>
      </c>
      <c r="CM182" s="1">
        <v>8.1049599999999999E-2</v>
      </c>
      <c r="DN182" s="1">
        <v>3.03936E-2</v>
      </c>
      <c r="EH182" s="1">
        <v>4.05248E-2</v>
      </c>
      <c r="FE182" s="1">
        <v>2.6594400000000001E-2</v>
      </c>
      <c r="FJ182" s="1">
        <v>1.6463200000000001E-2</v>
      </c>
      <c r="FM182" s="1">
        <v>3.9258399999999999E-2</v>
      </c>
    </row>
    <row r="183" spans="1:169" x14ac:dyDescent="0.2">
      <c r="A183" s="1" t="s">
        <v>2172</v>
      </c>
      <c r="B183" s="1" t="s">
        <v>55</v>
      </c>
      <c r="C183" s="1" t="s">
        <v>2163</v>
      </c>
      <c r="E183" s="1">
        <v>12</v>
      </c>
      <c r="F183" s="1" t="s">
        <v>1551</v>
      </c>
      <c r="H183" s="1" t="s">
        <v>2173</v>
      </c>
      <c r="I183" s="1" t="s">
        <v>7</v>
      </c>
      <c r="J183" s="1" t="s">
        <v>1553</v>
      </c>
      <c r="K183" s="1" t="s">
        <v>1554</v>
      </c>
      <c r="L183" s="1" t="s">
        <v>1553</v>
      </c>
      <c r="M183" s="1" t="s">
        <v>2166</v>
      </c>
      <c r="O183" s="1">
        <v>1</v>
      </c>
      <c r="P183" s="1" t="s">
        <v>1270</v>
      </c>
      <c r="Q183" s="1">
        <v>2010</v>
      </c>
      <c r="R183" s="1" t="s">
        <v>2167</v>
      </c>
      <c r="S183" s="1" t="s">
        <v>27</v>
      </c>
      <c r="T183" s="6">
        <v>1</v>
      </c>
      <c r="V183" s="1">
        <v>0.8</v>
      </c>
      <c r="Y183" s="1">
        <v>0.11669</v>
      </c>
      <c r="Z183" s="1">
        <v>6.6680000000000003E-2</v>
      </c>
      <c r="AA183" s="1">
        <v>0.118357</v>
      </c>
      <c r="AD183" s="1">
        <v>0.41675000000000001</v>
      </c>
      <c r="AW183" s="1">
        <v>1.3336000000000001E-2</v>
      </c>
      <c r="BA183" s="1">
        <v>8.8350999999999999E-2</v>
      </c>
      <c r="BG183" s="1">
        <v>1.5003000000000001E-2</v>
      </c>
      <c r="CA183" s="1">
        <v>4.7676200000000002E-2</v>
      </c>
      <c r="CK183" s="1">
        <v>9.0018000000000008E-3</v>
      </c>
      <c r="CM183" s="1">
        <v>1.0002E-2</v>
      </c>
      <c r="DN183" s="1">
        <v>1.6003199999999999E-2</v>
      </c>
      <c r="EH183" s="1">
        <v>4.0674799999999997E-2</v>
      </c>
      <c r="FE183" s="1">
        <v>1.7003399999999998E-2</v>
      </c>
      <c r="FJ183" s="1">
        <v>2.1337600000000002E-2</v>
      </c>
      <c r="FM183" s="1">
        <v>2.3338000000000001E-2</v>
      </c>
    </row>
    <row r="184" spans="1:169" x14ac:dyDescent="0.2">
      <c r="A184" s="1" t="s">
        <v>2174</v>
      </c>
      <c r="B184" s="1" t="s">
        <v>55</v>
      </c>
      <c r="C184" s="1" t="s">
        <v>2163</v>
      </c>
      <c r="E184" s="1">
        <v>11</v>
      </c>
      <c r="F184" s="1" t="s">
        <v>1390</v>
      </c>
      <c r="H184" s="1" t="s">
        <v>2175</v>
      </c>
      <c r="I184" s="1" t="s">
        <v>7</v>
      </c>
      <c r="J184" s="1" t="s">
        <v>1393</v>
      </c>
      <c r="K184" s="1" t="s">
        <v>1394</v>
      </c>
      <c r="L184" s="1" t="s">
        <v>1393</v>
      </c>
      <c r="M184" s="1" t="s">
        <v>2166</v>
      </c>
      <c r="O184" s="1">
        <v>1</v>
      </c>
      <c r="P184" s="1" t="s">
        <v>1270</v>
      </c>
      <c r="Q184" s="1">
        <v>2010</v>
      </c>
      <c r="R184" s="1" t="s">
        <v>2167</v>
      </c>
      <c r="S184" s="1" t="s">
        <v>27</v>
      </c>
      <c r="T184" s="6">
        <v>1</v>
      </c>
      <c r="V184" s="1">
        <v>3.8</v>
      </c>
      <c r="Y184" s="1">
        <v>0.72984919999999998</v>
      </c>
      <c r="Z184" s="1">
        <v>0.58262639999999999</v>
      </c>
      <c r="AA184" s="1">
        <v>1.1965768000000001</v>
      </c>
      <c r="AD184" s="1">
        <v>0.824315789473684</v>
      </c>
      <c r="BA184" s="1">
        <v>0.5043164</v>
      </c>
      <c r="BG184" s="1">
        <v>0.2224004</v>
      </c>
      <c r="CA184" s="1">
        <v>8.4574800000000006E-2</v>
      </c>
      <c r="CK184" s="1">
        <v>0.4009472</v>
      </c>
      <c r="CM184" s="1">
        <v>9.7104399999999993E-2</v>
      </c>
      <c r="DN184" s="1">
        <v>0.30384280000000002</v>
      </c>
      <c r="EH184" s="1">
        <v>0.40407959999999998</v>
      </c>
      <c r="FE184" s="1">
        <v>0.15975239999999999</v>
      </c>
      <c r="FJ184" s="1">
        <v>9.0839600000000006E-2</v>
      </c>
      <c r="FM184" s="1">
        <v>0.23806240000000001</v>
      </c>
    </row>
    <row r="185" spans="1:169" x14ac:dyDescent="0.2">
      <c r="A185" s="1" t="s">
        <v>2176</v>
      </c>
      <c r="B185" s="1" t="s">
        <v>55</v>
      </c>
      <c r="C185" s="1" t="s">
        <v>2177</v>
      </c>
      <c r="D185" s="1" t="s">
        <v>2</v>
      </c>
      <c r="E185" s="1">
        <v>33</v>
      </c>
      <c r="F185" s="1" t="s">
        <v>2178</v>
      </c>
      <c r="H185" s="1" t="s">
        <v>2179</v>
      </c>
      <c r="I185" s="1" t="s">
        <v>7</v>
      </c>
      <c r="J185" s="1" t="s">
        <v>2180</v>
      </c>
      <c r="K185" s="1" t="s">
        <v>2181</v>
      </c>
      <c r="L185" s="1" t="s">
        <v>2180</v>
      </c>
      <c r="N185" s="1" t="s">
        <v>2182</v>
      </c>
      <c r="O185" s="1">
        <v>6</v>
      </c>
      <c r="Q185" s="1">
        <v>2009</v>
      </c>
      <c r="R185" s="1" t="s">
        <v>2183</v>
      </c>
      <c r="S185" s="1" t="s">
        <v>27</v>
      </c>
      <c r="T185" s="6">
        <v>1</v>
      </c>
      <c r="U185" s="1">
        <v>74.92</v>
      </c>
      <c r="V185" s="1">
        <v>1.23</v>
      </c>
      <c r="Y185" s="1">
        <v>0.373</v>
      </c>
      <c r="Z185" s="1">
        <v>0.30399999999999999</v>
      </c>
      <c r="AA185" s="1">
        <v>0.53300000000000003</v>
      </c>
      <c r="AW185" s="1">
        <v>5.2999999999999999E-2</v>
      </c>
      <c r="AY185" s="1">
        <v>4.0000000000000001E-3</v>
      </c>
      <c r="BA185" s="1">
        <v>0.22700000000000001</v>
      </c>
      <c r="BD185" s="1">
        <v>7.0000000000000001E-3</v>
      </c>
      <c r="BG185" s="1">
        <v>7.5999999999999998E-2</v>
      </c>
      <c r="BM185" s="1">
        <v>6.0000000000000001E-3</v>
      </c>
      <c r="BZ185" s="1">
        <v>5.3999999999999999E-2</v>
      </c>
      <c r="CK185" s="1">
        <v>0.183</v>
      </c>
      <c r="CM185" s="1">
        <v>3.5000000000000003E-2</v>
      </c>
      <c r="CV185" s="1">
        <v>1.9E-2</v>
      </c>
      <c r="DA185" s="1">
        <v>8.0000000000000002E-3</v>
      </c>
      <c r="DB185" s="1">
        <v>5.0000000000000001E-3</v>
      </c>
      <c r="DN185" s="1">
        <v>0.13</v>
      </c>
      <c r="DT185" s="1">
        <v>7.0000000000000001E-3</v>
      </c>
      <c r="EH185" s="1">
        <v>2.3E-2</v>
      </c>
      <c r="ET185" s="1">
        <v>0.01</v>
      </c>
      <c r="EX185" s="1">
        <v>1.2E-2</v>
      </c>
      <c r="FE185" s="1">
        <v>8.3000000000000004E-2</v>
      </c>
      <c r="FJ185" s="1">
        <v>6.2E-2</v>
      </c>
      <c r="FM185" s="1">
        <v>0.20799999999999999</v>
      </c>
    </row>
    <row r="186" spans="1:169" x14ac:dyDescent="0.2">
      <c r="A186" s="1" t="s">
        <v>2184</v>
      </c>
      <c r="B186" s="1" t="s">
        <v>55</v>
      </c>
      <c r="C186" s="1" t="s">
        <v>2177</v>
      </c>
      <c r="D186" s="1" t="s">
        <v>2</v>
      </c>
      <c r="E186" s="1">
        <v>33</v>
      </c>
      <c r="F186" s="1" t="s">
        <v>2178</v>
      </c>
      <c r="H186" s="1" t="s">
        <v>2185</v>
      </c>
      <c r="I186" s="1" t="s">
        <v>7</v>
      </c>
      <c r="J186" s="1" t="s">
        <v>2180</v>
      </c>
      <c r="K186" s="1" t="s">
        <v>2181</v>
      </c>
      <c r="L186" s="1" t="s">
        <v>2180</v>
      </c>
      <c r="N186" s="1" t="s">
        <v>2182</v>
      </c>
      <c r="O186" s="1">
        <v>6</v>
      </c>
      <c r="Q186" s="1">
        <v>2009</v>
      </c>
      <c r="R186" s="1" t="s">
        <v>2183</v>
      </c>
      <c r="S186" s="1" t="s">
        <v>27</v>
      </c>
      <c r="T186" s="6">
        <v>1</v>
      </c>
      <c r="U186" s="1">
        <v>73.97</v>
      </c>
      <c r="V186" s="1">
        <v>1.53</v>
      </c>
      <c r="Y186" s="1">
        <v>0.47</v>
      </c>
      <c r="Z186" s="1">
        <v>0.38500000000000001</v>
      </c>
      <c r="AA186" s="1">
        <v>0.65400000000000003</v>
      </c>
      <c r="AW186" s="1">
        <v>6.5000000000000002E-2</v>
      </c>
      <c r="AY186" s="1">
        <v>5.0000000000000001E-3</v>
      </c>
      <c r="BA186" s="1">
        <v>0.28499999999999998</v>
      </c>
      <c r="BD186" s="1">
        <v>0.01</v>
      </c>
      <c r="BG186" s="1">
        <v>9.6000000000000002E-2</v>
      </c>
      <c r="BM186" s="1">
        <v>8.9999999999999993E-3</v>
      </c>
      <c r="BZ186" s="1">
        <v>6.7000000000000004E-2</v>
      </c>
      <c r="CK186" s="1">
        <v>0.23499999999999999</v>
      </c>
      <c r="CM186" s="1">
        <v>4.2999999999999997E-2</v>
      </c>
      <c r="CV186" s="1">
        <v>2.4E-2</v>
      </c>
      <c r="DA186" s="1">
        <v>0.01</v>
      </c>
      <c r="DB186" s="1">
        <v>6.0000000000000001E-3</v>
      </c>
      <c r="DN186" s="1">
        <v>0.14899999999999999</v>
      </c>
      <c r="DT186" s="1">
        <v>8.0000000000000002E-3</v>
      </c>
      <c r="EH186" s="1">
        <v>2.4E-2</v>
      </c>
      <c r="ET186" s="1">
        <v>1.2E-2</v>
      </c>
      <c r="EX186" s="1">
        <v>1.9E-2</v>
      </c>
      <c r="FE186" s="1">
        <v>0.10100000000000001</v>
      </c>
      <c r="FJ186" s="1">
        <v>7.2999999999999995E-2</v>
      </c>
      <c r="FM186" s="1">
        <v>0.26800000000000002</v>
      </c>
    </row>
    <row r="187" spans="1:169" x14ac:dyDescent="0.2">
      <c r="A187" s="1" t="s">
        <v>2186</v>
      </c>
      <c r="B187" s="1" t="s">
        <v>55</v>
      </c>
      <c r="C187" s="1" t="s">
        <v>2177</v>
      </c>
      <c r="D187" s="1" t="s">
        <v>2</v>
      </c>
      <c r="E187" s="1">
        <v>33</v>
      </c>
      <c r="F187" s="1" t="s">
        <v>2178</v>
      </c>
      <c r="H187" s="1" t="s">
        <v>2187</v>
      </c>
      <c r="I187" s="1" t="s">
        <v>7</v>
      </c>
      <c r="J187" s="1" t="s">
        <v>2180</v>
      </c>
      <c r="K187" s="1" t="s">
        <v>2181</v>
      </c>
      <c r="L187" s="1" t="s">
        <v>2180</v>
      </c>
      <c r="N187" s="1" t="s">
        <v>2182</v>
      </c>
      <c r="O187" s="1">
        <v>6</v>
      </c>
      <c r="Q187" s="1">
        <v>2009</v>
      </c>
      <c r="R187" s="1" t="s">
        <v>2183</v>
      </c>
      <c r="S187" s="1" t="s">
        <v>27</v>
      </c>
      <c r="T187" s="6">
        <v>1</v>
      </c>
      <c r="U187" s="1">
        <v>75.72</v>
      </c>
      <c r="V187" s="1">
        <v>1.1599999999999999</v>
      </c>
      <c r="Y187" s="1">
        <v>0.35099999999999998</v>
      </c>
      <c r="Z187" s="1">
        <v>0.27200000000000002</v>
      </c>
      <c r="AA187" s="1">
        <v>0.51600000000000001</v>
      </c>
      <c r="AW187" s="1">
        <v>4.5999999999999999E-2</v>
      </c>
      <c r="AY187" s="1">
        <v>4.0000000000000001E-3</v>
      </c>
      <c r="BA187" s="1">
        <v>0.219</v>
      </c>
      <c r="BD187" s="1">
        <v>6.0000000000000001E-3</v>
      </c>
      <c r="BG187" s="1">
        <v>7.0999999999999994E-2</v>
      </c>
      <c r="BM187" s="1">
        <v>5.0000000000000001E-3</v>
      </c>
      <c r="BZ187" s="1">
        <v>4.8000000000000001E-2</v>
      </c>
      <c r="CK187" s="1">
        <v>0.16400000000000001</v>
      </c>
      <c r="CM187" s="1">
        <v>3.2000000000000001E-2</v>
      </c>
      <c r="CV187" s="1">
        <v>1.7000000000000001E-2</v>
      </c>
      <c r="DA187" s="1">
        <v>8.0000000000000002E-3</v>
      </c>
      <c r="DB187" s="1">
        <v>4.0000000000000001E-3</v>
      </c>
      <c r="DN187" s="1">
        <v>0.11700000000000001</v>
      </c>
      <c r="DT187" s="1">
        <v>6.0000000000000001E-3</v>
      </c>
      <c r="EH187" s="1">
        <v>1.9E-2</v>
      </c>
      <c r="ET187" s="1">
        <v>8.0000000000000002E-3</v>
      </c>
      <c r="EX187" s="1">
        <v>1.2999999999999999E-2</v>
      </c>
      <c r="FE187" s="1">
        <v>0.08</v>
      </c>
      <c r="FJ187" s="1">
        <v>5.6000000000000001E-2</v>
      </c>
      <c r="FM187" s="1">
        <v>0.216</v>
      </c>
    </row>
    <row r="188" spans="1:169" x14ac:dyDescent="0.2">
      <c r="A188" s="1" t="s">
        <v>2188</v>
      </c>
      <c r="B188" s="1" t="s">
        <v>55</v>
      </c>
      <c r="C188" s="1" t="s">
        <v>2189</v>
      </c>
      <c r="D188" s="1" t="s">
        <v>2</v>
      </c>
      <c r="E188" s="1">
        <v>31</v>
      </c>
      <c r="F188" s="1" t="s">
        <v>2190</v>
      </c>
      <c r="H188" s="1" t="s">
        <v>2191</v>
      </c>
      <c r="I188" s="1" t="s">
        <v>7</v>
      </c>
      <c r="J188" s="1" t="s">
        <v>2192</v>
      </c>
      <c r="K188" s="1" t="s">
        <v>2193</v>
      </c>
      <c r="L188" s="1" t="s">
        <v>2192</v>
      </c>
      <c r="M188" s="1" t="s">
        <v>481</v>
      </c>
      <c r="N188" s="1" t="s">
        <v>2194</v>
      </c>
      <c r="P188" s="1" t="s">
        <v>2195</v>
      </c>
      <c r="Q188" s="1">
        <v>2003</v>
      </c>
      <c r="R188" s="1" t="s">
        <v>2196</v>
      </c>
      <c r="S188" s="1" t="s">
        <v>27</v>
      </c>
      <c r="T188" s="6">
        <v>1</v>
      </c>
      <c r="U188" s="1">
        <v>76.099999999999994</v>
      </c>
      <c r="W188" s="1">
        <v>3.9</v>
      </c>
      <c r="AA188" s="1">
        <v>1.18</v>
      </c>
      <c r="AF188" s="1">
        <v>0.83</v>
      </c>
      <c r="AG188" s="1">
        <v>0.35</v>
      </c>
      <c r="AW188" s="1">
        <v>0.16</v>
      </c>
      <c r="BA188" s="1">
        <v>0.53</v>
      </c>
      <c r="BG188" s="1">
        <v>0.1</v>
      </c>
      <c r="BZ188" s="1">
        <v>0.2</v>
      </c>
      <c r="CK188" s="1">
        <v>0.64</v>
      </c>
      <c r="CM188" s="1">
        <v>0.11</v>
      </c>
      <c r="CZ188" s="1">
        <v>0.28999999999999998</v>
      </c>
      <c r="DD188" s="1">
        <v>0.32</v>
      </c>
      <c r="DN188" s="1">
        <v>0.34</v>
      </c>
      <c r="EH188" s="1">
        <v>7.0000000000000007E-2</v>
      </c>
      <c r="ET188" s="1">
        <v>7.0000000000000007E-2</v>
      </c>
      <c r="EX188" s="1">
        <v>0.02</v>
      </c>
      <c r="FE188" s="1">
        <v>0.22</v>
      </c>
      <c r="FJ188" s="1">
        <v>0.04</v>
      </c>
      <c r="FM188" s="1">
        <v>0.43</v>
      </c>
    </row>
    <row r="189" spans="1:169" x14ac:dyDescent="0.2">
      <c r="A189" s="1" t="s">
        <v>2197</v>
      </c>
      <c r="B189" s="1" t="s">
        <v>55</v>
      </c>
      <c r="C189" s="1" t="s">
        <v>1702</v>
      </c>
      <c r="D189" s="1" t="s">
        <v>2</v>
      </c>
      <c r="E189" s="1">
        <v>23</v>
      </c>
      <c r="F189" s="1" t="s">
        <v>1711</v>
      </c>
      <c r="H189" s="1" t="s">
        <v>2198</v>
      </c>
      <c r="I189" s="1" t="s">
        <v>7</v>
      </c>
      <c r="J189" s="1" t="s">
        <v>1713</v>
      </c>
      <c r="K189" s="1" t="s">
        <v>1714</v>
      </c>
      <c r="L189" s="1" t="s">
        <v>1713</v>
      </c>
      <c r="M189" s="1" t="s">
        <v>2199</v>
      </c>
      <c r="P189" s="1" t="s">
        <v>1270</v>
      </c>
      <c r="Q189" s="1">
        <v>2010</v>
      </c>
      <c r="R189" s="1" t="s">
        <v>2200</v>
      </c>
      <c r="S189" s="1" t="s">
        <v>27</v>
      </c>
      <c r="T189" s="6">
        <v>1</v>
      </c>
      <c r="U189" s="1">
        <v>63.86</v>
      </c>
      <c r="V189" s="1">
        <v>21.61</v>
      </c>
      <c r="Y189" s="1">
        <v>5.5993506609999999</v>
      </c>
      <c r="Z189" s="1">
        <v>8.7683789399999998</v>
      </c>
      <c r="AA189" s="1">
        <v>5.6514003989999999</v>
      </c>
      <c r="AD189" s="1">
        <v>0.92638269319759403</v>
      </c>
      <c r="AW189" s="1">
        <v>0.74871546200000005</v>
      </c>
      <c r="AY189" s="1">
        <v>5.0047824999999997E-2</v>
      </c>
      <c r="BA189" s="1">
        <v>3.5834242700000001</v>
      </c>
      <c r="BD189" s="1">
        <v>6.4061216000000004E-2</v>
      </c>
      <c r="BG189" s="1">
        <v>1.053006238</v>
      </c>
      <c r="BI189" s="1">
        <v>7.0066955E-2</v>
      </c>
      <c r="BJ189" s="1">
        <v>1.2011478000000001E-2</v>
      </c>
      <c r="BK189" s="1">
        <v>2.8026782E-2</v>
      </c>
      <c r="BM189" s="1">
        <v>4.0038260000000003E-3</v>
      </c>
      <c r="BS189" s="1">
        <v>2.6024868999999999E-2</v>
      </c>
      <c r="BV189" s="1">
        <v>1.0009565E-2</v>
      </c>
      <c r="CA189" s="1">
        <v>1.395333361</v>
      </c>
      <c r="CF189" s="1">
        <v>0.106101389</v>
      </c>
      <c r="CM189" s="1">
        <v>0.45643616399999998</v>
      </c>
      <c r="CQ189" s="1">
        <v>6.4781904680000002</v>
      </c>
      <c r="CZ189" s="1">
        <v>0.234223821</v>
      </c>
      <c r="DD189" s="1">
        <v>2.8026782E-2</v>
      </c>
      <c r="DF189" s="1">
        <v>3.6034433999999997E-2</v>
      </c>
      <c r="DK189" s="1">
        <v>1.909825002</v>
      </c>
      <c r="DM189" s="1">
        <v>1.8017216999999999E-2</v>
      </c>
      <c r="DT189" s="1">
        <v>5.8055477000000001E-2</v>
      </c>
      <c r="DY189" s="1">
        <v>8.0076520000000005E-3</v>
      </c>
      <c r="ED189" s="1">
        <v>9.2087998000000004E-2</v>
      </c>
      <c r="EH189" s="1">
        <v>0.19018173499999999</v>
      </c>
      <c r="EK189" s="1">
        <v>5.6053564E-2</v>
      </c>
      <c r="EL189" s="1">
        <v>1.2011478000000001E-2</v>
      </c>
      <c r="EX189" s="1">
        <v>0.13813199700000001</v>
      </c>
      <c r="FE189" s="1">
        <v>1.1410904100000001</v>
      </c>
      <c r="FJ189" s="1">
        <v>0.55853372700000004</v>
      </c>
      <c r="FM189" s="1">
        <v>1.4734079680000001</v>
      </c>
    </row>
    <row r="190" spans="1:169" x14ac:dyDescent="0.2">
      <c r="A190" s="1" t="s">
        <v>2201</v>
      </c>
      <c r="B190" s="1" t="s">
        <v>55</v>
      </c>
      <c r="C190" s="1" t="s">
        <v>1702</v>
      </c>
      <c r="D190" s="1" t="s">
        <v>2</v>
      </c>
      <c r="E190" s="1">
        <v>23</v>
      </c>
      <c r="F190" s="1" t="s">
        <v>1711</v>
      </c>
      <c r="H190" s="1" t="s">
        <v>2202</v>
      </c>
      <c r="I190" s="1" t="s">
        <v>11</v>
      </c>
      <c r="J190" s="1" t="s">
        <v>1713</v>
      </c>
      <c r="K190" s="1" t="s">
        <v>1714</v>
      </c>
      <c r="L190" s="1" t="s">
        <v>1713</v>
      </c>
      <c r="M190" s="1" t="s">
        <v>2199</v>
      </c>
      <c r="N190" s="1" t="s">
        <v>2203</v>
      </c>
      <c r="P190" s="1" t="s">
        <v>1270</v>
      </c>
      <c r="Q190" s="1">
        <v>2010</v>
      </c>
      <c r="R190" s="1" t="s">
        <v>2200</v>
      </c>
      <c r="S190" s="1" t="s">
        <v>27</v>
      </c>
      <c r="T190" s="6">
        <v>1</v>
      </c>
      <c r="U190" s="1">
        <v>63.36</v>
      </c>
      <c r="V190" s="1">
        <v>18.02</v>
      </c>
      <c r="Y190" s="1">
        <v>4.6091609900000003</v>
      </c>
      <c r="Z190" s="1">
        <v>7.314646808</v>
      </c>
      <c r="AA190" s="1">
        <v>4.7475191680000002</v>
      </c>
      <c r="AD190" s="1">
        <v>0.92506437291897903</v>
      </c>
      <c r="AW190" s="1">
        <v>0.63011314799999996</v>
      </c>
      <c r="AY190" s="1">
        <v>4.167415E-2</v>
      </c>
      <c r="BA190" s="1">
        <v>2.9405280239999998</v>
      </c>
      <c r="BD190" s="1">
        <v>5.3342911999999999E-2</v>
      </c>
      <c r="BG190" s="1">
        <v>0.86348838800000005</v>
      </c>
      <c r="BI190" s="1">
        <v>2.6671456E-2</v>
      </c>
      <c r="BJ190" s="1">
        <v>8.3348299999999997E-3</v>
      </c>
      <c r="BK190" s="1">
        <v>1.5002694E-2</v>
      </c>
      <c r="BM190" s="1">
        <v>1.0001796E-2</v>
      </c>
      <c r="BS190" s="1">
        <v>2.0003592000000001E-2</v>
      </c>
      <c r="BV190" s="1">
        <v>8.3348299999999997E-3</v>
      </c>
      <c r="CA190" s="1">
        <v>1.151873506</v>
      </c>
      <c r="CF190" s="1">
        <v>8.8349198000000004E-2</v>
      </c>
      <c r="CM190" s="1">
        <v>0.37340038399999997</v>
      </c>
      <c r="CQ190" s="1">
        <v>5.3309572679999997</v>
      </c>
      <c r="CZ190" s="1">
        <v>0.29005208399999999</v>
      </c>
      <c r="DD190" s="1">
        <v>2.3337523999999998E-2</v>
      </c>
      <c r="DF190" s="1">
        <v>2.5004490000000001E-2</v>
      </c>
      <c r="DK190" s="1">
        <v>1.606955224</v>
      </c>
      <c r="DM190" s="1">
        <v>2.6671456E-2</v>
      </c>
      <c r="DT190" s="1">
        <v>4.8342014000000003E-2</v>
      </c>
      <c r="DY190" s="1">
        <v>3.1672354E-2</v>
      </c>
      <c r="ED190" s="1">
        <v>7.8347401999999997E-2</v>
      </c>
      <c r="EH190" s="1">
        <v>0.173364464</v>
      </c>
      <c r="EK190" s="1">
        <v>4.6675047999999997E-2</v>
      </c>
      <c r="EL190" s="1">
        <v>8.3348299999999997E-3</v>
      </c>
      <c r="EX190" s="1">
        <v>0.118354586</v>
      </c>
      <c r="FE190" s="1">
        <v>0.93016702799999995</v>
      </c>
      <c r="FJ190" s="1">
        <v>0.44007902399999999</v>
      </c>
      <c r="FM190" s="1">
        <v>7.5013469999999999E-2</v>
      </c>
    </row>
    <row r="191" spans="1:169" x14ac:dyDescent="0.2">
      <c r="A191" s="1" t="s">
        <v>2204</v>
      </c>
      <c r="B191" s="1" t="s">
        <v>55</v>
      </c>
      <c r="C191" s="1" t="s">
        <v>1702</v>
      </c>
      <c r="D191" s="1" t="s">
        <v>2</v>
      </c>
      <c r="E191" s="1">
        <v>23</v>
      </c>
      <c r="F191" s="1" t="s">
        <v>1711</v>
      </c>
      <c r="H191" s="1" t="s">
        <v>2205</v>
      </c>
      <c r="I191" s="1" t="s">
        <v>11</v>
      </c>
      <c r="J191" s="1" t="s">
        <v>1713</v>
      </c>
      <c r="K191" s="1" t="s">
        <v>1714</v>
      </c>
      <c r="L191" s="1" t="s">
        <v>1713</v>
      </c>
      <c r="M191" s="1" t="s">
        <v>2199</v>
      </c>
      <c r="N191" s="1" t="s">
        <v>2206</v>
      </c>
      <c r="P191" s="1" t="s">
        <v>1270</v>
      </c>
      <c r="Q191" s="1">
        <v>2010</v>
      </c>
      <c r="R191" s="1" t="s">
        <v>2200</v>
      </c>
      <c r="S191" s="1" t="s">
        <v>27</v>
      </c>
      <c r="T191" s="6">
        <v>1</v>
      </c>
      <c r="U191" s="1">
        <v>60.71</v>
      </c>
      <c r="V191" s="1">
        <v>21.2</v>
      </c>
      <c r="Y191" s="1">
        <v>5.3391915399999998</v>
      </c>
      <c r="Z191" s="1">
        <v>8.7481053000000006</v>
      </c>
      <c r="AA191" s="1">
        <v>5.5473394999999996</v>
      </c>
      <c r="AD191" s="1">
        <v>0.92625471698113204</v>
      </c>
      <c r="AW191" s="1">
        <v>0.73048152</v>
      </c>
      <c r="AY191" s="1">
        <v>4.7127839999999997E-2</v>
      </c>
      <c r="BA191" s="1">
        <v>3.3971317999999999</v>
      </c>
      <c r="BD191" s="1">
        <v>6.0873459999999997E-2</v>
      </c>
      <c r="BG191" s="1">
        <v>1.0132485600000001</v>
      </c>
      <c r="BI191" s="1">
        <v>2.9454899999999999E-2</v>
      </c>
      <c r="BJ191" s="1">
        <v>1.1781959999999999E-2</v>
      </c>
      <c r="BK191" s="1">
        <v>1.9636600000000001E-2</v>
      </c>
      <c r="BM191" s="1">
        <v>1.9636599999999999E-3</v>
      </c>
      <c r="BS191" s="1">
        <v>2.749124E-2</v>
      </c>
      <c r="BV191" s="1">
        <v>9.8183000000000003E-3</v>
      </c>
      <c r="CA191" s="1">
        <v>1.3608163799999999</v>
      </c>
      <c r="CF191" s="1">
        <v>0.10407398</v>
      </c>
      <c r="CM191" s="1">
        <v>0.44378716000000001</v>
      </c>
      <c r="CQ191" s="1">
        <v>6.3524400999999999</v>
      </c>
      <c r="CZ191" s="1">
        <v>0.38487736</v>
      </c>
      <c r="DD191" s="1">
        <v>3.1418559999999998E-2</v>
      </c>
      <c r="DF191" s="1">
        <v>3.5345880000000003E-2</v>
      </c>
      <c r="DK191" s="1">
        <v>1.87922262</v>
      </c>
      <c r="DM191" s="1">
        <v>2.749124E-2</v>
      </c>
      <c r="DT191" s="1">
        <v>6.4800780000000002E-2</v>
      </c>
      <c r="DY191" s="1">
        <v>3.3382219999999997E-2</v>
      </c>
      <c r="ED191" s="1">
        <v>9.2292020000000002E-2</v>
      </c>
      <c r="EH191" s="1">
        <v>0.20422064000000001</v>
      </c>
      <c r="EK191" s="1">
        <v>6.0873459999999997E-2</v>
      </c>
      <c r="EL191" s="1">
        <v>9.8183000000000003E-3</v>
      </c>
      <c r="EX191" s="1">
        <v>0.15316547999999999</v>
      </c>
      <c r="FE191" s="1">
        <v>1.1016132599999999</v>
      </c>
      <c r="FJ191" s="1">
        <v>0.5301882</v>
      </c>
      <c r="FM191" s="1">
        <v>1.3941986</v>
      </c>
    </row>
    <row r="192" spans="1:169" x14ac:dyDescent="0.2">
      <c r="A192" s="1" t="s">
        <v>2207</v>
      </c>
      <c r="B192" s="1" t="s">
        <v>55</v>
      </c>
      <c r="C192" s="1" t="s">
        <v>1702</v>
      </c>
      <c r="D192" s="1" t="s">
        <v>2</v>
      </c>
      <c r="E192" s="1">
        <v>23</v>
      </c>
      <c r="F192" s="1" t="s">
        <v>1711</v>
      </c>
      <c r="H192" s="1" t="s">
        <v>2208</v>
      </c>
      <c r="I192" s="1" t="s">
        <v>11</v>
      </c>
      <c r="J192" s="1" t="s">
        <v>1713</v>
      </c>
      <c r="K192" s="1" t="s">
        <v>1714</v>
      </c>
      <c r="L192" s="1" t="s">
        <v>1713</v>
      </c>
      <c r="M192" s="1" t="s">
        <v>2199</v>
      </c>
      <c r="N192" s="1" t="s">
        <v>2209</v>
      </c>
      <c r="P192" s="1" t="s">
        <v>1270</v>
      </c>
      <c r="Q192" s="1">
        <v>2010</v>
      </c>
      <c r="R192" s="1" t="s">
        <v>2200</v>
      </c>
      <c r="S192" s="1" t="s">
        <v>27</v>
      </c>
      <c r="T192" s="6">
        <v>1</v>
      </c>
      <c r="U192" s="1">
        <v>58.84</v>
      </c>
      <c r="V192" s="1">
        <v>18.32</v>
      </c>
      <c r="Y192" s="1">
        <v>4.6221450119999998</v>
      </c>
      <c r="Z192" s="1">
        <v>7.5256046400000001</v>
      </c>
      <c r="AA192" s="1">
        <v>4.8018103480000001</v>
      </c>
      <c r="AD192" s="1">
        <v>0.92519432314410499</v>
      </c>
      <c r="AW192" s="1">
        <v>0.633913544</v>
      </c>
      <c r="AY192" s="1">
        <v>4.2373899999999999E-2</v>
      </c>
      <c r="BA192" s="1">
        <v>3.027191416</v>
      </c>
      <c r="BD192" s="1">
        <v>5.084868E-2</v>
      </c>
      <c r="BG192" s="1">
        <v>0.76951002400000001</v>
      </c>
      <c r="BI192" s="1">
        <v>2.3729383999999999E-2</v>
      </c>
      <c r="BJ192" s="1">
        <v>8.4747799999999995E-3</v>
      </c>
      <c r="BK192" s="1">
        <v>3.0509207999999999E-2</v>
      </c>
      <c r="BM192" s="1">
        <v>1.1864692E-2</v>
      </c>
      <c r="BS192" s="1">
        <v>2.2034428000000002E-2</v>
      </c>
      <c r="BV192" s="1">
        <v>8.4747799999999995E-3</v>
      </c>
      <c r="CA192" s="1">
        <v>1.2085036280000001</v>
      </c>
      <c r="CF192" s="1">
        <v>9.3222579999999999E-2</v>
      </c>
      <c r="CM192" s="1">
        <v>0.388144924</v>
      </c>
      <c r="CQ192" s="1">
        <v>5.4645381439999996</v>
      </c>
      <c r="CZ192" s="1">
        <v>0.294922344</v>
      </c>
      <c r="DD192" s="1">
        <v>2.3729383999999999E-2</v>
      </c>
      <c r="DF192" s="1">
        <v>2.2034428000000002E-2</v>
      </c>
      <c r="DK192" s="1">
        <v>1.6339375840000001</v>
      </c>
      <c r="DM192" s="1">
        <v>2.7119296000000001E-2</v>
      </c>
      <c r="DT192" s="1">
        <v>5.2543635999999998E-2</v>
      </c>
      <c r="DY192" s="1">
        <v>2.7119296000000001E-2</v>
      </c>
      <c r="ED192" s="1">
        <v>8.6442755999999996E-2</v>
      </c>
      <c r="EH192" s="1">
        <v>0.17458046799999999</v>
      </c>
      <c r="EK192" s="1">
        <v>5.7628503999999997E-2</v>
      </c>
      <c r="EL192" s="1">
        <v>2.7119296000000001E-2</v>
      </c>
      <c r="EX192" s="1">
        <v>0.13559647999999999</v>
      </c>
      <c r="FE192" s="1">
        <v>0.925445976</v>
      </c>
      <c r="FJ192" s="1">
        <v>0.41356926399999999</v>
      </c>
      <c r="FM192" s="1">
        <v>1.2424027479999999</v>
      </c>
    </row>
    <row r="193" spans="1:169" x14ac:dyDescent="0.2">
      <c r="A193" s="1" t="s">
        <v>2210</v>
      </c>
      <c r="B193" s="1" t="s">
        <v>55</v>
      </c>
      <c r="C193" s="1" t="s">
        <v>1702</v>
      </c>
      <c r="D193" s="1" t="s">
        <v>2</v>
      </c>
      <c r="E193" s="1">
        <v>23</v>
      </c>
      <c r="F193" s="1" t="s">
        <v>1711</v>
      </c>
      <c r="H193" s="1" t="s">
        <v>2211</v>
      </c>
      <c r="I193" s="1" t="s">
        <v>11</v>
      </c>
      <c r="J193" s="1" t="s">
        <v>1713</v>
      </c>
      <c r="K193" s="1" t="s">
        <v>1714</v>
      </c>
      <c r="L193" s="1" t="s">
        <v>1713</v>
      </c>
      <c r="M193" s="1" t="s">
        <v>2199</v>
      </c>
      <c r="N193" s="1" t="s">
        <v>2212</v>
      </c>
      <c r="P193" s="1" t="s">
        <v>1270</v>
      </c>
      <c r="Q193" s="1">
        <v>2010</v>
      </c>
      <c r="R193" s="1" t="s">
        <v>2200</v>
      </c>
      <c r="S193" s="1" t="s">
        <v>27</v>
      </c>
      <c r="T193" s="6">
        <v>1</v>
      </c>
      <c r="U193" s="1">
        <v>59.43</v>
      </c>
      <c r="V193" s="1">
        <v>24.68</v>
      </c>
      <c r="Y193" s="1">
        <v>6.3707496959999999</v>
      </c>
      <c r="Z193" s="1">
        <v>10.185419144000001</v>
      </c>
      <c r="AA193" s="1">
        <v>6.3272711599999996</v>
      </c>
      <c r="AD193" s="1">
        <v>0.92720583468395501</v>
      </c>
      <c r="AW193" s="1">
        <v>0.87872409600000001</v>
      </c>
      <c r="AY193" s="1">
        <v>5.4920256000000001E-2</v>
      </c>
      <c r="BA193" s="1">
        <v>4.0549455679999999</v>
      </c>
      <c r="BD193" s="1">
        <v>7.3227007999999996E-2</v>
      </c>
      <c r="BG193" s="1">
        <v>1.2013806</v>
      </c>
      <c r="BI193" s="1">
        <v>3.8901848000000003E-2</v>
      </c>
      <c r="BJ193" s="1">
        <v>1.1441720000000001E-2</v>
      </c>
      <c r="BK193" s="1">
        <v>1.8306751999999999E-2</v>
      </c>
      <c r="BM193" s="1">
        <v>2.2883439999999999E-3</v>
      </c>
      <c r="BS193" s="1">
        <v>3.432516E-2</v>
      </c>
      <c r="BV193" s="1">
        <v>1.1441720000000001E-2</v>
      </c>
      <c r="CA193" s="1">
        <v>1.6293009279999999</v>
      </c>
      <c r="CF193" s="1">
        <v>0.12814726400000001</v>
      </c>
      <c r="CM193" s="1">
        <v>0.53089580800000002</v>
      </c>
      <c r="CQ193" s="1">
        <v>7.5584002320000003</v>
      </c>
      <c r="CZ193" s="1">
        <v>0.23112274399999999</v>
      </c>
      <c r="DD193" s="1">
        <v>2.9748472000000001E-2</v>
      </c>
      <c r="DF193" s="1">
        <v>3.6613503999999998E-2</v>
      </c>
      <c r="DK193" s="1">
        <v>2.2563071840000002</v>
      </c>
      <c r="DM193" s="1">
        <v>1.6018408000000001E-2</v>
      </c>
      <c r="DT193" s="1">
        <v>6.6361976000000003E-2</v>
      </c>
      <c r="DY193" s="1">
        <v>3.6613503999999998E-2</v>
      </c>
      <c r="ED193" s="1">
        <v>0.112128856</v>
      </c>
      <c r="EH193" s="1">
        <v>0.24485280800000001</v>
      </c>
      <c r="EK193" s="1">
        <v>6.4073632000000005E-2</v>
      </c>
      <c r="EL193" s="1">
        <v>9.1533759999999995E-3</v>
      </c>
      <c r="EX193" s="1">
        <v>0.135012296</v>
      </c>
      <c r="FE193" s="1">
        <v>1.2540125120000001</v>
      </c>
      <c r="FJ193" s="1">
        <v>0.59496943999999996</v>
      </c>
      <c r="FM193" s="1">
        <v>1.542343856</v>
      </c>
    </row>
    <row r="194" spans="1:169" x14ac:dyDescent="0.2">
      <c r="A194" s="1" t="s">
        <v>2213</v>
      </c>
      <c r="B194" s="1" t="s">
        <v>55</v>
      </c>
      <c r="C194" s="1" t="s">
        <v>1702</v>
      </c>
      <c r="D194" s="1" t="s">
        <v>2</v>
      </c>
      <c r="E194" s="1">
        <v>23</v>
      </c>
      <c r="F194" s="1" t="s">
        <v>1711</v>
      </c>
      <c r="H194" s="1" t="s">
        <v>2214</v>
      </c>
      <c r="I194" s="1" t="s">
        <v>11</v>
      </c>
      <c r="J194" s="1" t="s">
        <v>1713</v>
      </c>
      <c r="K194" s="1" t="s">
        <v>1714</v>
      </c>
      <c r="L194" s="1" t="s">
        <v>1713</v>
      </c>
      <c r="M194" s="1" t="s">
        <v>2199</v>
      </c>
      <c r="N194" s="1" t="s">
        <v>2215</v>
      </c>
      <c r="P194" s="1" t="s">
        <v>1270</v>
      </c>
      <c r="Q194" s="1">
        <v>2010</v>
      </c>
      <c r="R194" s="1" t="s">
        <v>2200</v>
      </c>
      <c r="S194" s="1" t="s">
        <v>27</v>
      </c>
      <c r="T194" s="6">
        <v>1</v>
      </c>
      <c r="U194" s="1">
        <v>56.39</v>
      </c>
      <c r="V194" s="1">
        <v>23.14</v>
      </c>
      <c r="Y194" s="1">
        <v>5.9943302899999997</v>
      </c>
      <c r="Z194" s="1">
        <v>9.6209537320000003</v>
      </c>
      <c r="AA194" s="1">
        <v>5.8313359780000003</v>
      </c>
      <c r="AD194" s="1">
        <v>0.92682022471910097</v>
      </c>
      <c r="AW194" s="1">
        <v>0.817116222</v>
      </c>
      <c r="AY194" s="1">
        <v>5.3616549999999999E-2</v>
      </c>
      <c r="BA194" s="1">
        <v>3.8217876839999998</v>
      </c>
      <c r="BD194" s="1">
        <v>6.8629183999999996E-2</v>
      </c>
      <c r="BG194" s="1">
        <v>1.1366708599999999</v>
      </c>
      <c r="BI194" s="1">
        <v>3.2169929999999999E-2</v>
      </c>
      <c r="BJ194" s="1">
        <v>1.072331E-2</v>
      </c>
      <c r="BK194" s="1">
        <v>1.7157295999999999E-2</v>
      </c>
      <c r="BM194" s="1">
        <v>4.2893239999999997E-3</v>
      </c>
      <c r="BS194" s="1">
        <v>3.0025268000000001E-2</v>
      </c>
      <c r="BV194" s="1">
        <v>1.072331E-2</v>
      </c>
      <c r="CA194" s="1">
        <v>1.520565358</v>
      </c>
      <c r="CF194" s="1">
        <v>0.11581174800000001</v>
      </c>
      <c r="CM194" s="1">
        <v>0.48254894999999998</v>
      </c>
      <c r="CQ194" s="1">
        <v>7.0516486560000002</v>
      </c>
      <c r="CZ194" s="1">
        <v>0.356013892</v>
      </c>
      <c r="DD194" s="1">
        <v>2.144662E-2</v>
      </c>
      <c r="DF194" s="1">
        <v>3.4314591999999998E-2</v>
      </c>
      <c r="DK194" s="1">
        <v>2.1060580839999998</v>
      </c>
      <c r="DM194" s="1">
        <v>3.0025268000000001E-2</v>
      </c>
      <c r="DT194" s="1">
        <v>6.2195198E-2</v>
      </c>
      <c r="DY194" s="1">
        <v>6.433986E-3</v>
      </c>
      <c r="ED194" s="1">
        <v>0.100799114</v>
      </c>
      <c r="EH194" s="1">
        <v>0.227334172</v>
      </c>
      <c r="EK194" s="1">
        <v>5.5761211999999998E-2</v>
      </c>
      <c r="EL194" s="1">
        <v>1.7157295999999999E-2</v>
      </c>
      <c r="EX194" s="1">
        <v>0.141547692</v>
      </c>
      <c r="FE194" s="1">
        <v>1.1280922120000001</v>
      </c>
      <c r="FJ194" s="1">
        <v>0.54259948599999996</v>
      </c>
      <c r="FM194" s="1">
        <v>1.4090429339999999</v>
      </c>
    </row>
    <row r="195" spans="1:169" x14ac:dyDescent="0.2">
      <c r="A195" s="1" t="s">
        <v>2216</v>
      </c>
      <c r="B195" s="1" t="s">
        <v>55</v>
      </c>
      <c r="C195" s="1" t="s">
        <v>1702</v>
      </c>
      <c r="D195" s="1" t="s">
        <v>2</v>
      </c>
      <c r="E195" s="1">
        <v>23</v>
      </c>
      <c r="F195" s="1" t="s">
        <v>1711</v>
      </c>
      <c r="H195" s="1" t="s">
        <v>2217</v>
      </c>
      <c r="I195" s="1" t="s">
        <v>11</v>
      </c>
      <c r="J195" s="1" t="s">
        <v>1713</v>
      </c>
      <c r="K195" s="1" t="s">
        <v>1714</v>
      </c>
      <c r="L195" s="1" t="s">
        <v>1713</v>
      </c>
      <c r="M195" s="1" t="s">
        <v>2199</v>
      </c>
      <c r="N195" s="1" t="s">
        <v>2218</v>
      </c>
      <c r="P195" s="1" t="s">
        <v>1270</v>
      </c>
      <c r="Q195" s="1">
        <v>2010</v>
      </c>
      <c r="R195" s="1" t="s">
        <v>2200</v>
      </c>
      <c r="S195" s="1" t="s">
        <v>27</v>
      </c>
      <c r="T195" s="6">
        <v>1</v>
      </c>
      <c r="U195" s="1">
        <v>50.45</v>
      </c>
      <c r="V195" s="1">
        <v>26.3</v>
      </c>
      <c r="Y195" s="1">
        <v>5.9791899900000001</v>
      </c>
      <c r="Z195" s="1">
        <v>9.8531001099999997</v>
      </c>
      <c r="AA195" s="1">
        <v>8.5626099</v>
      </c>
      <c r="AD195" s="1">
        <v>0.92756273764258601</v>
      </c>
      <c r="AW195" s="1">
        <v>0.72208903999999996</v>
      </c>
      <c r="AY195" s="1">
        <v>4.8789800000000001E-2</v>
      </c>
      <c r="BA195" s="1">
        <v>3.79584644</v>
      </c>
      <c r="BD195" s="1">
        <v>6.3426739999999995E-2</v>
      </c>
      <c r="BG195" s="1">
        <v>1.2026685699999999</v>
      </c>
      <c r="BI195" s="1">
        <v>4.1471330000000001E-2</v>
      </c>
      <c r="BJ195" s="1">
        <v>7.3184699999999997E-3</v>
      </c>
      <c r="BK195" s="1">
        <v>4.6350309999999999E-2</v>
      </c>
      <c r="BM195" s="1">
        <v>1.9515919999999999E-2</v>
      </c>
      <c r="BS195" s="1">
        <v>2.4394900000000001E-2</v>
      </c>
      <c r="BV195" s="1">
        <v>7.3184699999999997E-3</v>
      </c>
      <c r="CA195" s="1">
        <v>1.33928001</v>
      </c>
      <c r="CF195" s="1">
        <v>0.10001909</v>
      </c>
      <c r="CM195" s="1">
        <v>0.46594258999999999</v>
      </c>
      <c r="CQ195" s="1">
        <v>7.4648393999999998</v>
      </c>
      <c r="CZ195" s="1">
        <v>0.32445216999999998</v>
      </c>
      <c r="DD195" s="1">
        <v>9.2700619999999997E-2</v>
      </c>
      <c r="DF195" s="1">
        <v>3.1713369999999998E-2</v>
      </c>
      <c r="DK195" s="1">
        <v>5.1302474699999996</v>
      </c>
      <c r="DM195" s="1">
        <v>3.9031839999999998E-2</v>
      </c>
      <c r="DT195" s="1">
        <v>5.1229289999999997E-2</v>
      </c>
      <c r="DY195" s="1">
        <v>3.6592350000000003E-2</v>
      </c>
      <c r="ED195" s="1">
        <v>8.7821640000000006E-2</v>
      </c>
      <c r="EH195" s="1">
        <v>0.21711461000000001</v>
      </c>
      <c r="EK195" s="1">
        <v>4.8789800000000001E-2</v>
      </c>
      <c r="EL195" s="1">
        <v>3.6592350000000003E-2</v>
      </c>
      <c r="EX195" s="1">
        <v>0.12929297000000001</v>
      </c>
      <c r="FE195" s="1">
        <v>0.99531192000000002</v>
      </c>
      <c r="FJ195" s="1">
        <v>0.48057952999999998</v>
      </c>
      <c r="FM195" s="1">
        <v>1.3148851100000001</v>
      </c>
    </row>
    <row r="196" spans="1:169" x14ac:dyDescent="0.2">
      <c r="A196" s="1" t="s">
        <v>2219</v>
      </c>
      <c r="B196" s="1" t="s">
        <v>55</v>
      </c>
      <c r="C196" s="1" t="s">
        <v>2220</v>
      </c>
      <c r="D196" s="1" t="s">
        <v>2</v>
      </c>
      <c r="E196" s="1">
        <v>31</v>
      </c>
      <c r="F196" s="1" t="s">
        <v>2221</v>
      </c>
      <c r="H196" s="1" t="s">
        <v>2222</v>
      </c>
      <c r="I196" s="1" t="s">
        <v>7</v>
      </c>
      <c r="J196" s="1" t="s">
        <v>2223</v>
      </c>
      <c r="K196" s="1" t="s">
        <v>2224</v>
      </c>
      <c r="L196" s="1" t="s">
        <v>2223</v>
      </c>
      <c r="M196" s="1" t="s">
        <v>2225</v>
      </c>
      <c r="N196" s="1" t="s">
        <v>2226</v>
      </c>
      <c r="O196" s="1">
        <v>36</v>
      </c>
      <c r="P196" s="1" t="s">
        <v>2227</v>
      </c>
      <c r="Q196" s="1">
        <v>2009</v>
      </c>
      <c r="R196" s="1" t="s">
        <v>2228</v>
      </c>
      <c r="S196" s="1" t="s">
        <v>27</v>
      </c>
      <c r="T196" s="6">
        <v>1</v>
      </c>
      <c r="U196" s="1">
        <v>76.400000000000006</v>
      </c>
      <c r="W196" s="1">
        <v>3.5</v>
      </c>
      <c r="Y196" s="1">
        <v>0.83370750000000005</v>
      </c>
      <c r="Z196" s="1">
        <v>0.85556500000000002</v>
      </c>
      <c r="AA196" s="1">
        <v>1.4332275000000001</v>
      </c>
      <c r="AD196" s="1">
        <v>0.89214285714285702</v>
      </c>
      <c r="AF196" s="1">
        <v>1.0772625</v>
      </c>
      <c r="AG196" s="1">
        <v>0.36220999999999998</v>
      </c>
      <c r="AW196" s="1">
        <v>0.19671749999999999</v>
      </c>
      <c r="AY196" s="1">
        <v>1.56125E-2</v>
      </c>
      <c r="BA196" s="1">
        <v>0.49335499999999999</v>
      </c>
      <c r="BD196" s="1">
        <v>1.56125E-2</v>
      </c>
      <c r="BG196" s="1">
        <v>9.3674999999999994E-2</v>
      </c>
      <c r="BZ196" s="1">
        <v>0.17485999999999999</v>
      </c>
      <c r="CK196" s="1">
        <v>0.48086499999999999</v>
      </c>
      <c r="CM196" s="1">
        <v>8.4307499999999994E-2</v>
      </c>
      <c r="CV196" s="1">
        <v>4.9959999999999997E-2</v>
      </c>
      <c r="DA196" s="1">
        <v>3.1224999999999999E-2</v>
      </c>
      <c r="DI196" s="1">
        <v>5.6204999999999998E-2</v>
      </c>
      <c r="DN196" s="1">
        <v>0.29976000000000003</v>
      </c>
      <c r="DT196" s="1">
        <v>1.8735000000000002E-2</v>
      </c>
      <c r="EH196" s="1">
        <v>4.0592499999999997E-2</v>
      </c>
      <c r="ET196" s="1">
        <v>8.7429999999999994E-2</v>
      </c>
      <c r="EX196" s="1">
        <v>3.1224999999999999E-2</v>
      </c>
      <c r="FE196" s="1">
        <v>0.40280250000000001</v>
      </c>
      <c r="FJ196" s="1">
        <v>0.14363500000000001</v>
      </c>
      <c r="FM196" s="1">
        <v>0.37469999999999998</v>
      </c>
    </row>
    <row r="197" spans="1:169" x14ac:dyDescent="0.2">
      <c r="A197" s="1" t="s">
        <v>2229</v>
      </c>
      <c r="B197" s="1" t="s">
        <v>55</v>
      </c>
      <c r="C197" s="1" t="s">
        <v>2230</v>
      </c>
      <c r="D197" s="1" t="s">
        <v>2</v>
      </c>
      <c r="E197" s="1">
        <v>33</v>
      </c>
      <c r="F197" s="1" t="s">
        <v>1978</v>
      </c>
      <c r="H197" s="1" t="s">
        <v>2231</v>
      </c>
      <c r="I197" s="1" t="s">
        <v>7</v>
      </c>
      <c r="J197" s="1" t="s">
        <v>1980</v>
      </c>
      <c r="K197" s="1" t="s">
        <v>1981</v>
      </c>
      <c r="L197" s="1" t="s">
        <v>1982</v>
      </c>
      <c r="O197" s="1">
        <v>1</v>
      </c>
      <c r="P197" s="1" t="s">
        <v>2232</v>
      </c>
      <c r="Q197" s="1">
        <v>2006</v>
      </c>
      <c r="R197" s="1" t="s">
        <v>2233</v>
      </c>
      <c r="S197" s="1" t="s">
        <v>27</v>
      </c>
      <c r="T197" s="6">
        <v>1</v>
      </c>
      <c r="U197" s="1">
        <v>76.52</v>
      </c>
      <c r="X197" s="1">
        <v>2.43018</v>
      </c>
    </row>
    <row r="198" spans="1:169" x14ac:dyDescent="0.2">
      <c r="A198" s="1" t="s">
        <v>2234</v>
      </c>
      <c r="B198" s="1" t="s">
        <v>55</v>
      </c>
      <c r="C198" s="1" t="s">
        <v>2230</v>
      </c>
      <c r="D198" s="1" t="s">
        <v>2</v>
      </c>
      <c r="E198" s="1">
        <v>33</v>
      </c>
      <c r="F198" s="1" t="s">
        <v>2235</v>
      </c>
      <c r="H198" s="1" t="s">
        <v>2236</v>
      </c>
      <c r="I198" s="1" t="s">
        <v>7</v>
      </c>
      <c r="J198" s="1" t="s">
        <v>2237</v>
      </c>
      <c r="K198" s="1" t="s">
        <v>2238</v>
      </c>
      <c r="L198" s="1" t="s">
        <v>2237</v>
      </c>
      <c r="O198" s="1">
        <v>1</v>
      </c>
      <c r="P198" s="1" t="s">
        <v>2232</v>
      </c>
      <c r="Q198" s="1">
        <v>2006</v>
      </c>
      <c r="R198" s="1" t="s">
        <v>2233</v>
      </c>
      <c r="S198" s="1" t="s">
        <v>27</v>
      </c>
      <c r="T198" s="6">
        <v>1</v>
      </c>
      <c r="U198" s="1">
        <v>77.489999999999995</v>
      </c>
      <c r="X198" s="1">
        <v>1.5486880000000001</v>
      </c>
    </row>
    <row r="199" spans="1:169" x14ac:dyDescent="0.2">
      <c r="A199" s="1" t="s">
        <v>2239</v>
      </c>
      <c r="B199" s="1" t="s">
        <v>55</v>
      </c>
      <c r="C199" s="1" t="s">
        <v>2230</v>
      </c>
      <c r="D199" s="1" t="s">
        <v>2</v>
      </c>
      <c r="E199" s="1">
        <v>33</v>
      </c>
      <c r="F199" s="1" t="s">
        <v>2240</v>
      </c>
      <c r="H199" s="1" t="s">
        <v>2241</v>
      </c>
      <c r="I199" s="1" t="s">
        <v>7</v>
      </c>
      <c r="J199" s="1" t="s">
        <v>2242</v>
      </c>
      <c r="K199" s="1" t="s">
        <v>2243</v>
      </c>
      <c r="L199" s="1" t="s">
        <v>2244</v>
      </c>
      <c r="O199" s="1">
        <v>1</v>
      </c>
      <c r="P199" s="1" t="s">
        <v>2232</v>
      </c>
      <c r="Q199" s="1">
        <v>2006</v>
      </c>
      <c r="R199" s="1" t="s">
        <v>2233</v>
      </c>
      <c r="S199" s="1" t="s">
        <v>27</v>
      </c>
      <c r="T199" s="6">
        <v>1</v>
      </c>
      <c r="U199" s="1">
        <v>76.45</v>
      </c>
      <c r="X199" s="1">
        <v>1.6437900000000001</v>
      </c>
    </row>
    <row r="200" spans="1:169" x14ac:dyDescent="0.2">
      <c r="A200" s="1" t="s">
        <v>2245</v>
      </c>
      <c r="B200" s="1" t="s">
        <v>55</v>
      </c>
      <c r="C200" s="1" t="s">
        <v>2230</v>
      </c>
      <c r="D200" s="1" t="s">
        <v>2</v>
      </c>
      <c r="E200" s="1">
        <v>37</v>
      </c>
      <c r="F200" s="1" t="s">
        <v>2246</v>
      </c>
      <c r="H200" s="1" t="s">
        <v>2247</v>
      </c>
      <c r="I200" s="1" t="s">
        <v>7</v>
      </c>
      <c r="J200" s="1" t="s">
        <v>2248</v>
      </c>
      <c r="K200" s="1" t="s">
        <v>2249</v>
      </c>
      <c r="L200" s="1" t="s">
        <v>2248</v>
      </c>
      <c r="O200" s="1">
        <v>1</v>
      </c>
      <c r="P200" s="1" t="s">
        <v>2232</v>
      </c>
      <c r="Q200" s="1">
        <v>2006</v>
      </c>
      <c r="R200" s="1" t="s">
        <v>2233</v>
      </c>
      <c r="S200" s="1" t="s">
        <v>27</v>
      </c>
      <c r="T200" s="6">
        <v>1</v>
      </c>
      <c r="U200" s="1">
        <v>75.12</v>
      </c>
      <c r="X200" s="1">
        <v>2.1595840000000002</v>
      </c>
    </row>
    <row r="201" spans="1:169" x14ac:dyDescent="0.2">
      <c r="A201" s="1" t="s">
        <v>2250</v>
      </c>
      <c r="B201" s="1" t="s">
        <v>55</v>
      </c>
      <c r="C201" s="1" t="s">
        <v>2230</v>
      </c>
      <c r="D201" s="1" t="s">
        <v>2</v>
      </c>
      <c r="E201" s="1">
        <v>33</v>
      </c>
      <c r="F201" s="1" t="s">
        <v>2251</v>
      </c>
      <c r="H201" s="1" t="s">
        <v>2252</v>
      </c>
      <c r="I201" s="1" t="s">
        <v>7</v>
      </c>
      <c r="J201" s="1" t="s">
        <v>2253</v>
      </c>
      <c r="L201" s="1" t="s">
        <v>2254</v>
      </c>
      <c r="O201" s="1">
        <v>1</v>
      </c>
      <c r="P201" s="1" t="s">
        <v>2232</v>
      </c>
      <c r="Q201" s="1">
        <v>2006</v>
      </c>
      <c r="R201" s="1" t="s">
        <v>2233</v>
      </c>
      <c r="S201" s="1" t="s">
        <v>27</v>
      </c>
      <c r="T201" s="6">
        <v>1</v>
      </c>
      <c r="U201" s="1">
        <v>77.180000000000007</v>
      </c>
      <c r="X201" s="1">
        <v>1.6476040000000001</v>
      </c>
    </row>
    <row r="202" spans="1:169" x14ac:dyDescent="0.2">
      <c r="A202" s="1" t="s">
        <v>2255</v>
      </c>
      <c r="B202" s="1" t="s">
        <v>55</v>
      </c>
      <c r="C202" s="1" t="s">
        <v>2256</v>
      </c>
      <c r="D202" s="1" t="s">
        <v>2</v>
      </c>
      <c r="E202" s="1">
        <v>36</v>
      </c>
      <c r="F202" s="1" t="s">
        <v>1815</v>
      </c>
      <c r="H202" s="1" t="s">
        <v>2257</v>
      </c>
      <c r="I202" s="1" t="s">
        <v>7</v>
      </c>
      <c r="J202" s="1" t="s">
        <v>1817</v>
      </c>
      <c r="K202" s="1" t="s">
        <v>1818</v>
      </c>
      <c r="L202" s="1" t="s">
        <v>1817</v>
      </c>
      <c r="M202" s="1" t="s">
        <v>2258</v>
      </c>
      <c r="O202" s="1">
        <v>1</v>
      </c>
      <c r="Q202" s="1">
        <v>2009</v>
      </c>
      <c r="R202" s="1" t="s">
        <v>2259</v>
      </c>
      <c r="S202" s="1" t="s">
        <v>27</v>
      </c>
      <c r="T202" s="6">
        <v>1</v>
      </c>
      <c r="U202" s="1" t="s">
        <v>2260</v>
      </c>
      <c r="W202" s="1" t="s">
        <v>2262</v>
      </c>
    </row>
    <row r="203" spans="1:169" x14ac:dyDescent="0.2">
      <c r="A203" s="1" t="s">
        <v>2264</v>
      </c>
      <c r="B203" s="1" t="s">
        <v>55</v>
      </c>
      <c r="C203" s="1" t="s">
        <v>2256</v>
      </c>
      <c r="D203" s="1" t="s">
        <v>2</v>
      </c>
      <c r="E203" s="1">
        <v>36</v>
      </c>
      <c r="F203" s="1" t="s">
        <v>1815</v>
      </c>
      <c r="H203" s="1" t="s">
        <v>2257</v>
      </c>
      <c r="I203" s="1" t="s">
        <v>7</v>
      </c>
      <c r="J203" s="1" t="s">
        <v>1817</v>
      </c>
      <c r="K203" s="1" t="s">
        <v>1818</v>
      </c>
      <c r="L203" s="1" t="s">
        <v>1817</v>
      </c>
      <c r="M203" s="1" t="s">
        <v>2265</v>
      </c>
      <c r="O203" s="1">
        <v>1</v>
      </c>
      <c r="Q203" s="1">
        <v>2009</v>
      </c>
      <c r="R203" s="1" t="s">
        <v>2259</v>
      </c>
      <c r="S203" s="1" t="s">
        <v>27</v>
      </c>
      <c r="T203" s="6">
        <v>1</v>
      </c>
      <c r="U203" s="1" t="s">
        <v>2266</v>
      </c>
      <c r="W203" s="1" t="s">
        <v>2268</v>
      </c>
    </row>
    <row r="204" spans="1:169" x14ac:dyDescent="0.2">
      <c r="A204" s="1" t="s">
        <v>2270</v>
      </c>
      <c r="B204" s="1" t="s">
        <v>55</v>
      </c>
      <c r="C204" s="1" t="s">
        <v>2256</v>
      </c>
      <c r="D204" s="1" t="s">
        <v>2</v>
      </c>
      <c r="E204" s="1">
        <v>36</v>
      </c>
      <c r="F204" s="1" t="s">
        <v>1815</v>
      </c>
      <c r="H204" s="1" t="s">
        <v>2257</v>
      </c>
      <c r="I204" s="1" t="s">
        <v>7</v>
      </c>
      <c r="J204" s="1" t="s">
        <v>1817</v>
      </c>
      <c r="K204" s="1" t="s">
        <v>1818</v>
      </c>
      <c r="L204" s="1" t="s">
        <v>1817</v>
      </c>
      <c r="M204" s="1" t="s">
        <v>2271</v>
      </c>
      <c r="O204" s="1">
        <v>1</v>
      </c>
      <c r="Q204" s="1">
        <v>2009</v>
      </c>
      <c r="R204" s="1" t="s">
        <v>2259</v>
      </c>
      <c r="S204" s="1" t="s">
        <v>27</v>
      </c>
      <c r="T204" s="6">
        <v>1</v>
      </c>
      <c r="U204" s="1">
        <v>60</v>
      </c>
      <c r="W204" s="1">
        <v>16.55</v>
      </c>
    </row>
    <row r="205" spans="1:169" x14ac:dyDescent="0.2">
      <c r="A205" s="1" t="s">
        <v>2272</v>
      </c>
      <c r="B205" s="1" t="s">
        <v>55</v>
      </c>
      <c r="C205" s="1" t="s">
        <v>2273</v>
      </c>
      <c r="E205" s="1">
        <v>31</v>
      </c>
      <c r="F205" s="1" t="s">
        <v>1805</v>
      </c>
      <c r="H205" s="1" t="s">
        <v>2274</v>
      </c>
      <c r="I205" s="1" t="s">
        <v>7</v>
      </c>
      <c r="J205" s="1" t="s">
        <v>1807</v>
      </c>
      <c r="K205" s="1" t="s">
        <v>1808</v>
      </c>
      <c r="L205" s="1" t="s">
        <v>1807</v>
      </c>
      <c r="M205" s="1" t="s">
        <v>2275</v>
      </c>
      <c r="O205" s="1">
        <v>1</v>
      </c>
      <c r="Q205" s="1">
        <v>2010</v>
      </c>
      <c r="R205" s="1" t="s">
        <v>2276</v>
      </c>
      <c r="S205" s="1" t="s">
        <v>27</v>
      </c>
      <c r="T205" s="6">
        <v>1</v>
      </c>
      <c r="U205" s="1">
        <v>77.180000000000007</v>
      </c>
      <c r="V205" s="1">
        <v>1.18</v>
      </c>
    </row>
    <row r="206" spans="1:169" x14ac:dyDescent="0.2">
      <c r="A206" s="1" t="s">
        <v>2277</v>
      </c>
      <c r="B206" s="1" t="s">
        <v>55</v>
      </c>
      <c r="C206" s="1" t="s">
        <v>2273</v>
      </c>
      <c r="E206" s="1">
        <v>31</v>
      </c>
      <c r="F206" s="1" t="s">
        <v>1805</v>
      </c>
      <c r="H206" s="1" t="s">
        <v>2274</v>
      </c>
      <c r="I206" s="1" t="s">
        <v>7</v>
      </c>
      <c r="J206" s="1" t="s">
        <v>1807</v>
      </c>
      <c r="K206" s="1" t="s">
        <v>1808</v>
      </c>
      <c r="L206" s="1" t="s">
        <v>1807</v>
      </c>
      <c r="M206" s="1" t="s">
        <v>2278</v>
      </c>
      <c r="O206" s="1">
        <v>1</v>
      </c>
      <c r="Q206" s="1">
        <v>2010</v>
      </c>
      <c r="R206" s="1" t="s">
        <v>2276</v>
      </c>
      <c r="S206" s="1" t="s">
        <v>27</v>
      </c>
      <c r="T206" s="6">
        <v>1</v>
      </c>
      <c r="U206" s="1">
        <v>77.28</v>
      </c>
      <c r="V206" s="1">
        <v>1.62</v>
      </c>
    </row>
    <row r="207" spans="1:169" x14ac:dyDescent="0.2">
      <c r="A207" s="1" t="s">
        <v>2279</v>
      </c>
      <c r="B207" s="1" t="s">
        <v>55</v>
      </c>
      <c r="C207" s="1" t="s">
        <v>2273</v>
      </c>
      <c r="E207" s="1">
        <v>31</v>
      </c>
      <c r="F207" s="1" t="s">
        <v>1805</v>
      </c>
      <c r="H207" s="1" t="s">
        <v>2274</v>
      </c>
      <c r="I207" s="1" t="s">
        <v>7</v>
      </c>
      <c r="J207" s="1" t="s">
        <v>1807</v>
      </c>
      <c r="K207" s="1" t="s">
        <v>1808</v>
      </c>
      <c r="L207" s="1" t="s">
        <v>1807</v>
      </c>
      <c r="M207" s="1" t="s">
        <v>2280</v>
      </c>
      <c r="O207" s="1">
        <v>1</v>
      </c>
      <c r="Q207" s="1">
        <v>2010</v>
      </c>
      <c r="R207" s="1" t="s">
        <v>2276</v>
      </c>
      <c r="S207" s="1" t="s">
        <v>27</v>
      </c>
      <c r="T207" s="6">
        <v>1</v>
      </c>
      <c r="U207" s="1">
        <v>74.760000000000005</v>
      </c>
      <c r="V207" s="1">
        <v>1.88</v>
      </c>
    </row>
    <row r="208" spans="1:169" x14ac:dyDescent="0.2">
      <c r="A208" s="1" t="s">
        <v>2281</v>
      </c>
      <c r="B208" s="1" t="s">
        <v>55</v>
      </c>
      <c r="C208" s="1" t="s">
        <v>2273</v>
      </c>
      <c r="E208" s="1">
        <v>31</v>
      </c>
      <c r="F208" s="1" t="s">
        <v>1805</v>
      </c>
      <c r="H208" s="1" t="s">
        <v>2274</v>
      </c>
      <c r="I208" s="1" t="s">
        <v>7</v>
      </c>
      <c r="J208" s="1" t="s">
        <v>1807</v>
      </c>
      <c r="K208" s="1" t="s">
        <v>1808</v>
      </c>
      <c r="L208" s="1" t="s">
        <v>1807</v>
      </c>
      <c r="M208" s="1" t="s">
        <v>2282</v>
      </c>
      <c r="O208" s="1">
        <v>1</v>
      </c>
      <c r="Q208" s="1">
        <v>2010</v>
      </c>
      <c r="R208" s="1" t="s">
        <v>2276</v>
      </c>
      <c r="S208" s="1" t="s">
        <v>27</v>
      </c>
      <c r="T208" s="6">
        <v>1</v>
      </c>
      <c r="U208" s="1">
        <v>77.8</v>
      </c>
      <c r="V208" s="1">
        <v>1.61</v>
      </c>
    </row>
    <row r="209" spans="1:169" x14ac:dyDescent="0.2">
      <c r="A209" s="1" t="s">
        <v>2283</v>
      </c>
      <c r="B209" s="1" t="s">
        <v>55</v>
      </c>
      <c r="C209" s="1" t="s">
        <v>2273</v>
      </c>
      <c r="E209" s="1">
        <v>33</v>
      </c>
      <c r="F209" s="1" t="s">
        <v>2284</v>
      </c>
      <c r="H209" s="1" t="s">
        <v>2285</v>
      </c>
      <c r="I209" s="1" t="s">
        <v>7</v>
      </c>
      <c r="J209" s="1" t="s">
        <v>2286</v>
      </c>
      <c r="K209" s="1" t="s">
        <v>2287</v>
      </c>
      <c r="L209" s="1" t="s">
        <v>2286</v>
      </c>
      <c r="M209" s="1" t="s">
        <v>2275</v>
      </c>
      <c r="O209" s="1">
        <v>1</v>
      </c>
      <c r="Q209" s="1">
        <v>2010</v>
      </c>
      <c r="R209" s="1" t="s">
        <v>2276</v>
      </c>
      <c r="S209" s="1" t="s">
        <v>27</v>
      </c>
      <c r="T209" s="6">
        <v>1</v>
      </c>
      <c r="U209" s="1">
        <v>64.91</v>
      </c>
      <c r="V209" s="1">
        <v>17.37</v>
      </c>
    </row>
    <row r="210" spans="1:169" x14ac:dyDescent="0.2">
      <c r="A210" s="1" t="s">
        <v>2288</v>
      </c>
      <c r="B210" s="1" t="s">
        <v>55</v>
      </c>
      <c r="C210" s="1" t="s">
        <v>2273</v>
      </c>
      <c r="E210" s="1">
        <v>33</v>
      </c>
      <c r="F210" s="1" t="s">
        <v>2284</v>
      </c>
      <c r="H210" s="1" t="s">
        <v>2285</v>
      </c>
      <c r="I210" s="1" t="s">
        <v>7</v>
      </c>
      <c r="J210" s="1" t="s">
        <v>2286</v>
      </c>
      <c r="K210" s="1" t="s">
        <v>2287</v>
      </c>
      <c r="L210" s="1" t="s">
        <v>2286</v>
      </c>
      <c r="M210" s="1" t="s">
        <v>2278</v>
      </c>
      <c r="O210" s="1">
        <v>1</v>
      </c>
      <c r="Q210" s="1">
        <v>2010</v>
      </c>
      <c r="R210" s="1" t="s">
        <v>2276</v>
      </c>
      <c r="S210" s="1" t="s">
        <v>27</v>
      </c>
      <c r="T210" s="6">
        <v>1</v>
      </c>
      <c r="U210" s="1">
        <v>70.88</v>
      </c>
      <c r="V210" s="1">
        <v>9.7100000000000009</v>
      </c>
    </row>
    <row r="211" spans="1:169" x14ac:dyDescent="0.2">
      <c r="A211" s="1" t="s">
        <v>2289</v>
      </c>
      <c r="B211" s="1" t="s">
        <v>55</v>
      </c>
      <c r="C211" s="1" t="s">
        <v>2273</v>
      </c>
      <c r="E211" s="1">
        <v>33</v>
      </c>
      <c r="F211" s="1" t="s">
        <v>2284</v>
      </c>
      <c r="H211" s="1" t="s">
        <v>2285</v>
      </c>
      <c r="I211" s="1" t="s">
        <v>7</v>
      </c>
      <c r="J211" s="1" t="s">
        <v>2286</v>
      </c>
      <c r="K211" s="1" t="s">
        <v>2287</v>
      </c>
      <c r="L211" s="1" t="s">
        <v>2286</v>
      </c>
      <c r="M211" s="1" t="s">
        <v>2280</v>
      </c>
      <c r="O211" s="1">
        <v>1</v>
      </c>
      <c r="Q211" s="1">
        <v>2010</v>
      </c>
      <c r="R211" s="1" t="s">
        <v>2276</v>
      </c>
      <c r="S211" s="1" t="s">
        <v>27</v>
      </c>
      <c r="T211" s="6">
        <v>1</v>
      </c>
      <c r="U211" s="1">
        <v>76.25</v>
      </c>
      <c r="V211" s="1">
        <v>2.06</v>
      </c>
    </row>
    <row r="212" spans="1:169" x14ac:dyDescent="0.2">
      <c r="A212" s="1" t="s">
        <v>2290</v>
      </c>
      <c r="B212" s="1" t="s">
        <v>55</v>
      </c>
      <c r="C212" s="1" t="s">
        <v>2273</v>
      </c>
      <c r="E212" s="1">
        <v>33</v>
      </c>
      <c r="F212" s="1" t="s">
        <v>2284</v>
      </c>
      <c r="H212" s="1" t="s">
        <v>2285</v>
      </c>
      <c r="I212" s="1" t="s">
        <v>7</v>
      </c>
      <c r="J212" s="1" t="s">
        <v>2286</v>
      </c>
      <c r="K212" s="1" t="s">
        <v>2287</v>
      </c>
      <c r="L212" s="1" t="s">
        <v>2286</v>
      </c>
      <c r="M212" s="1" t="s">
        <v>2282</v>
      </c>
      <c r="O212" s="1">
        <v>1</v>
      </c>
      <c r="Q212" s="1">
        <v>2010</v>
      </c>
      <c r="R212" s="1" t="s">
        <v>2276</v>
      </c>
      <c r="S212" s="1" t="s">
        <v>27</v>
      </c>
      <c r="T212" s="6">
        <v>1</v>
      </c>
      <c r="U212" s="1">
        <v>67.02</v>
      </c>
      <c r="V212" s="1">
        <v>12.28</v>
      </c>
    </row>
    <row r="213" spans="1:169" x14ac:dyDescent="0.2">
      <c r="A213" s="1" t="s">
        <v>2291</v>
      </c>
      <c r="B213" s="1" t="s">
        <v>55</v>
      </c>
      <c r="C213" s="1" t="s">
        <v>2273</v>
      </c>
      <c r="E213" s="1">
        <v>32</v>
      </c>
      <c r="F213" s="1" t="s">
        <v>1596</v>
      </c>
      <c r="H213" s="1" t="s">
        <v>2292</v>
      </c>
      <c r="I213" s="1" t="s">
        <v>7</v>
      </c>
      <c r="J213" s="1" t="s">
        <v>1598</v>
      </c>
      <c r="K213" s="1" t="s">
        <v>1599</v>
      </c>
      <c r="L213" s="1" t="s">
        <v>1598</v>
      </c>
      <c r="M213" s="1" t="s">
        <v>2275</v>
      </c>
      <c r="O213" s="1">
        <v>1</v>
      </c>
      <c r="Q213" s="1">
        <v>2010</v>
      </c>
      <c r="R213" s="1" t="s">
        <v>2276</v>
      </c>
      <c r="S213" s="1" t="s">
        <v>27</v>
      </c>
      <c r="T213" s="6">
        <v>1</v>
      </c>
      <c r="U213" s="1">
        <v>82.93</v>
      </c>
      <c r="V213" s="1">
        <v>1.34</v>
      </c>
    </row>
    <row r="214" spans="1:169" x14ac:dyDescent="0.2">
      <c r="A214" s="1" t="s">
        <v>2293</v>
      </c>
      <c r="B214" s="1" t="s">
        <v>55</v>
      </c>
      <c r="C214" s="1" t="s">
        <v>2273</v>
      </c>
      <c r="E214" s="1">
        <v>32</v>
      </c>
      <c r="F214" s="1" t="s">
        <v>1596</v>
      </c>
      <c r="H214" s="1" t="s">
        <v>2292</v>
      </c>
      <c r="I214" s="1" t="s">
        <v>7</v>
      </c>
      <c r="J214" s="1" t="s">
        <v>1598</v>
      </c>
      <c r="K214" s="1" t="s">
        <v>1599</v>
      </c>
      <c r="L214" s="1" t="s">
        <v>1598</v>
      </c>
      <c r="M214" s="1" t="s">
        <v>2278</v>
      </c>
      <c r="O214" s="1">
        <v>1</v>
      </c>
      <c r="Q214" s="1">
        <v>2010</v>
      </c>
      <c r="R214" s="1" t="s">
        <v>2276</v>
      </c>
      <c r="S214" s="1" t="s">
        <v>27</v>
      </c>
      <c r="T214" s="6">
        <v>1</v>
      </c>
      <c r="U214" s="1">
        <v>82.02</v>
      </c>
      <c r="V214" s="1">
        <v>1.22</v>
      </c>
    </row>
    <row r="215" spans="1:169" x14ac:dyDescent="0.2">
      <c r="A215" s="1" t="s">
        <v>2294</v>
      </c>
      <c r="B215" s="1" t="s">
        <v>55</v>
      </c>
      <c r="C215" s="1" t="s">
        <v>2273</v>
      </c>
      <c r="E215" s="1">
        <v>32</v>
      </c>
      <c r="F215" s="1" t="s">
        <v>1596</v>
      </c>
      <c r="H215" s="1" t="s">
        <v>2292</v>
      </c>
      <c r="I215" s="1" t="s">
        <v>7</v>
      </c>
      <c r="J215" s="1" t="s">
        <v>1598</v>
      </c>
      <c r="K215" s="1" t="s">
        <v>1599</v>
      </c>
      <c r="L215" s="1" t="s">
        <v>1598</v>
      </c>
      <c r="M215" s="1" t="s">
        <v>2280</v>
      </c>
      <c r="O215" s="1">
        <v>1</v>
      </c>
      <c r="Q215" s="1">
        <v>2010</v>
      </c>
      <c r="R215" s="1" t="s">
        <v>2276</v>
      </c>
      <c r="S215" s="1" t="s">
        <v>27</v>
      </c>
      <c r="T215" s="6">
        <v>1</v>
      </c>
      <c r="U215" s="1">
        <v>79.5</v>
      </c>
      <c r="V215" s="1">
        <v>1.48</v>
      </c>
    </row>
    <row r="216" spans="1:169" x14ac:dyDescent="0.2">
      <c r="A216" s="1" t="s">
        <v>2295</v>
      </c>
      <c r="B216" s="1" t="s">
        <v>55</v>
      </c>
      <c r="C216" s="1" t="s">
        <v>2273</v>
      </c>
      <c r="E216" s="1">
        <v>32</v>
      </c>
      <c r="F216" s="1" t="s">
        <v>1596</v>
      </c>
      <c r="H216" s="1" t="s">
        <v>2292</v>
      </c>
      <c r="I216" s="1" t="s">
        <v>7</v>
      </c>
      <c r="J216" s="1" t="s">
        <v>1598</v>
      </c>
      <c r="K216" s="1" t="s">
        <v>1599</v>
      </c>
      <c r="L216" s="1" t="s">
        <v>1598</v>
      </c>
      <c r="M216" s="1" t="s">
        <v>2282</v>
      </c>
      <c r="O216" s="1">
        <v>1</v>
      </c>
      <c r="Q216" s="1">
        <v>2010</v>
      </c>
      <c r="R216" s="1" t="s">
        <v>2276</v>
      </c>
      <c r="S216" s="1" t="s">
        <v>27</v>
      </c>
      <c r="T216" s="6">
        <v>1</v>
      </c>
      <c r="U216" s="1">
        <v>78.790000000000006</v>
      </c>
      <c r="V216" s="1">
        <v>2.37</v>
      </c>
    </row>
    <row r="217" spans="1:169" x14ac:dyDescent="0.2">
      <c r="A217" s="1" t="s">
        <v>2296</v>
      </c>
      <c r="B217" s="1" t="s">
        <v>55</v>
      </c>
      <c r="C217" s="1" t="s">
        <v>2297</v>
      </c>
      <c r="D217" s="1" t="s">
        <v>2</v>
      </c>
      <c r="E217" s="1">
        <v>21</v>
      </c>
      <c r="F217" s="1" t="s">
        <v>2298</v>
      </c>
      <c r="H217" s="1" t="s">
        <v>2299</v>
      </c>
      <c r="I217" s="1" t="s">
        <v>7</v>
      </c>
      <c r="J217" s="1" t="s">
        <v>2300</v>
      </c>
      <c r="K217" s="1" t="s">
        <v>2301</v>
      </c>
      <c r="L217" s="1" t="s">
        <v>2300</v>
      </c>
      <c r="N217" s="1" t="s">
        <v>2302</v>
      </c>
      <c r="P217" s="1" t="s">
        <v>2303</v>
      </c>
      <c r="Q217" s="1">
        <v>2009</v>
      </c>
      <c r="R217" s="1" t="s">
        <v>2304</v>
      </c>
      <c r="S217" s="1" t="s">
        <v>27</v>
      </c>
      <c r="T217" s="6">
        <v>1</v>
      </c>
      <c r="U217" s="1">
        <v>72.5</v>
      </c>
      <c r="W217" s="1">
        <v>7.1775000000000002</v>
      </c>
      <c r="Y217" s="1">
        <v>2.1037080074999999</v>
      </c>
      <c r="Z217" s="1">
        <v>1.9988502875</v>
      </c>
      <c r="AA217" s="1">
        <v>1.67772352</v>
      </c>
      <c r="AB217" s="1">
        <v>0.77332568499999998</v>
      </c>
      <c r="AD217" s="1">
        <v>0.91307662835249004</v>
      </c>
      <c r="AF217" s="1">
        <v>0.98959473249999996</v>
      </c>
      <c r="AG217" s="1">
        <v>0.68812878749999995</v>
      </c>
      <c r="AW217" s="1">
        <v>0.31850532450000002</v>
      </c>
      <c r="BA217" s="1">
        <v>1.3828111825</v>
      </c>
      <c r="BG217" s="1">
        <v>0.40435758275</v>
      </c>
      <c r="BZ217" s="1">
        <v>0.41812015850000001</v>
      </c>
      <c r="CK217" s="1">
        <v>1.585973015</v>
      </c>
      <c r="DN217" s="1">
        <v>0.61145157974999997</v>
      </c>
      <c r="EH217" s="1">
        <v>0.24313883824999999</v>
      </c>
      <c r="EX217" s="1">
        <v>7.4055764750000003E-2</v>
      </c>
      <c r="FE217" s="1">
        <v>8.5852258249999994E-2</v>
      </c>
      <c r="FM217" s="1">
        <v>0.66191435750000005</v>
      </c>
    </row>
    <row r="218" spans="1:169" x14ac:dyDescent="0.2">
      <c r="A218" s="1" t="s">
        <v>2305</v>
      </c>
      <c r="B218" s="1" t="s">
        <v>55</v>
      </c>
      <c r="C218" s="1" t="s">
        <v>2297</v>
      </c>
      <c r="D218" s="1" t="s">
        <v>2</v>
      </c>
      <c r="E218" s="1">
        <v>21</v>
      </c>
      <c r="F218" s="1" t="s">
        <v>2298</v>
      </c>
      <c r="H218" s="1" t="s">
        <v>2306</v>
      </c>
      <c r="I218" s="1" t="s">
        <v>7</v>
      </c>
      <c r="J218" s="1" t="s">
        <v>2300</v>
      </c>
      <c r="K218" s="1" t="s">
        <v>2301</v>
      </c>
      <c r="L218" s="1" t="s">
        <v>2300</v>
      </c>
      <c r="N218" s="1" t="s">
        <v>2307</v>
      </c>
      <c r="P218" s="1" t="s">
        <v>2303</v>
      </c>
      <c r="Q218" s="1">
        <v>2009</v>
      </c>
      <c r="R218" s="1" t="s">
        <v>2304</v>
      </c>
      <c r="S218" s="1" t="s">
        <v>27</v>
      </c>
      <c r="T218" s="6">
        <v>1</v>
      </c>
      <c r="U218" s="1">
        <v>69.599999999999994</v>
      </c>
      <c r="W218" s="1">
        <v>9.6671999999999993</v>
      </c>
      <c r="Y218" s="1">
        <v>2.8049732415999999</v>
      </c>
      <c r="Z218" s="1">
        <v>2.6185667920000002</v>
      </c>
      <c r="AA218" s="1">
        <v>2.4854193279999999</v>
      </c>
      <c r="AB218" s="1">
        <v>0.94978524320000002</v>
      </c>
      <c r="AD218" s="1">
        <v>0.91820771267792101</v>
      </c>
      <c r="AF218" s="1">
        <v>1.287092152</v>
      </c>
      <c r="AG218" s="1">
        <v>1.2072036736</v>
      </c>
      <c r="AW218" s="1">
        <v>0.36216110208000002</v>
      </c>
      <c r="BA218" s="1">
        <v>1.8108055104</v>
      </c>
      <c r="BG218" s="1">
        <v>0.63111897936000005</v>
      </c>
      <c r="BZ218" s="1">
        <v>0.49087031728000002</v>
      </c>
      <c r="CK218" s="1">
        <v>2.1392359216000001</v>
      </c>
      <c r="DN218" s="1">
        <v>1.0740562095999999</v>
      </c>
      <c r="EH218" s="1">
        <v>0.40743123984000001</v>
      </c>
      <c r="EX218" s="1">
        <v>0.13048451472</v>
      </c>
      <c r="FE218" s="1">
        <v>0.20060884575999999</v>
      </c>
      <c r="FM218" s="1">
        <v>0.67550146736000005</v>
      </c>
    </row>
    <row r="219" spans="1:169" x14ac:dyDescent="0.2">
      <c r="A219" s="1" t="s">
        <v>2308</v>
      </c>
      <c r="B219" s="1" t="s">
        <v>55</v>
      </c>
      <c r="C219" s="1" t="s">
        <v>2297</v>
      </c>
      <c r="D219" s="1" t="s">
        <v>2</v>
      </c>
      <c r="E219" s="1">
        <v>21</v>
      </c>
      <c r="F219" s="1" t="s">
        <v>2298</v>
      </c>
      <c r="H219" s="1" t="s">
        <v>2309</v>
      </c>
      <c r="I219" s="1" t="s">
        <v>7</v>
      </c>
      <c r="J219" s="1" t="s">
        <v>2300</v>
      </c>
      <c r="K219" s="1" t="s">
        <v>2301</v>
      </c>
      <c r="L219" s="1" t="s">
        <v>2300</v>
      </c>
      <c r="N219" s="1" t="s">
        <v>2310</v>
      </c>
      <c r="P219" s="1" t="s">
        <v>2303</v>
      </c>
      <c r="Q219" s="1">
        <v>2009</v>
      </c>
      <c r="R219" s="1" t="s">
        <v>2304</v>
      </c>
      <c r="S219" s="1" t="s">
        <v>27</v>
      </c>
      <c r="T219" s="6">
        <v>1</v>
      </c>
      <c r="U219" s="1">
        <v>69.2</v>
      </c>
      <c r="W219" s="1">
        <v>10.194800000000001</v>
      </c>
      <c r="Y219" s="1">
        <v>3.1010557204000002</v>
      </c>
      <c r="Z219" s="1">
        <v>2.4920870744000001</v>
      </c>
      <c r="AA219" s="1">
        <v>2.8480995135999998</v>
      </c>
      <c r="AB219" s="1">
        <v>0.92937984127999995</v>
      </c>
      <c r="AD219" s="1">
        <v>0.91897324126025004</v>
      </c>
      <c r="AF219" s="1">
        <v>1.4053122600000001</v>
      </c>
      <c r="AG219" s="1">
        <v>1.4427872535999999</v>
      </c>
      <c r="AW219" s="1">
        <v>0.30354744816000001</v>
      </c>
      <c r="BA219" s="1">
        <v>2.1360746352</v>
      </c>
      <c r="BG219" s="1">
        <v>0.66143363704000002</v>
      </c>
      <c r="BZ219" s="1">
        <v>0.46281617096</v>
      </c>
      <c r="CK219" s="1">
        <v>2.0236496544000002</v>
      </c>
      <c r="DN219" s="1">
        <v>1.3490997696</v>
      </c>
      <c r="EH219" s="1">
        <v>0.34289619144</v>
      </c>
      <c r="EX219" s="1">
        <v>0.10118248271999999</v>
      </c>
      <c r="FE219" s="1">
        <v>0.21173371384</v>
      </c>
      <c r="FM219" s="1">
        <v>0.84693485536000002</v>
      </c>
    </row>
    <row r="220" spans="1:169" x14ac:dyDescent="0.2">
      <c r="A220" s="1" t="s">
        <v>2311</v>
      </c>
      <c r="B220" s="1" t="s">
        <v>55</v>
      </c>
      <c r="C220" s="1" t="s">
        <v>2297</v>
      </c>
      <c r="D220" s="1" t="s">
        <v>2</v>
      </c>
      <c r="E220" s="1">
        <v>21</v>
      </c>
      <c r="F220" s="1" t="s">
        <v>2298</v>
      </c>
      <c r="H220" s="1" t="s">
        <v>2312</v>
      </c>
      <c r="I220" s="1" t="s">
        <v>7</v>
      </c>
      <c r="J220" s="1" t="s">
        <v>2300</v>
      </c>
      <c r="K220" s="1" t="s">
        <v>2301</v>
      </c>
      <c r="L220" s="1" t="s">
        <v>2300</v>
      </c>
      <c r="N220" s="1" t="s">
        <v>2313</v>
      </c>
      <c r="P220" s="1" t="s">
        <v>2303</v>
      </c>
      <c r="Q220" s="1">
        <v>2009</v>
      </c>
      <c r="R220" s="1" t="s">
        <v>2304</v>
      </c>
      <c r="S220" s="1" t="s">
        <v>27</v>
      </c>
      <c r="T220" s="6">
        <v>1</v>
      </c>
      <c r="U220" s="1">
        <v>68.3</v>
      </c>
      <c r="W220" s="1">
        <v>10.270799999999999</v>
      </c>
      <c r="Y220" s="1">
        <v>3.0112503916</v>
      </c>
      <c r="Z220" s="1">
        <v>2.6053451663999998</v>
      </c>
      <c r="AA220" s="1">
        <v>3.1245262683999999</v>
      </c>
      <c r="AB220" s="1">
        <v>0.69853457360000004</v>
      </c>
      <c r="AD220" s="1">
        <v>0.91907703392140805</v>
      </c>
      <c r="AF220" s="1">
        <v>1.4537070856000001</v>
      </c>
      <c r="AG220" s="1">
        <v>1.6708191828000001</v>
      </c>
      <c r="AW220" s="1">
        <v>9.91163922E-2</v>
      </c>
      <c r="BA220" s="1">
        <v>2.2655175359999999</v>
      </c>
      <c r="BG220" s="1">
        <v>0.64095266955999997</v>
      </c>
      <c r="BZ220" s="1">
        <v>0.42572850363999998</v>
      </c>
      <c r="CK220" s="1">
        <v>2.1805606283999999</v>
      </c>
      <c r="DN220" s="1">
        <v>1.510345024</v>
      </c>
      <c r="EH220" s="1">
        <v>0.33038797399999997</v>
      </c>
      <c r="EX220" s="1">
        <v>0.16330605572000001</v>
      </c>
      <c r="FE220" s="1">
        <v>0.27658193252000002</v>
      </c>
      <c r="FM220" s="1">
        <v>0.84673717908000001</v>
      </c>
    </row>
    <row r="221" spans="1:169" x14ac:dyDescent="0.2">
      <c r="A221" s="1" t="s">
        <v>2314</v>
      </c>
      <c r="B221" s="1" t="s">
        <v>55</v>
      </c>
      <c r="C221" s="1" t="s">
        <v>2297</v>
      </c>
      <c r="D221" s="1" t="s">
        <v>2</v>
      </c>
      <c r="E221" s="1">
        <v>21</v>
      </c>
      <c r="F221" s="1" t="s">
        <v>2298</v>
      </c>
      <c r="H221" s="1" t="s">
        <v>2315</v>
      </c>
      <c r="I221" s="1" t="s">
        <v>7</v>
      </c>
      <c r="J221" s="1" t="s">
        <v>2300</v>
      </c>
      <c r="K221" s="1" t="s">
        <v>2301</v>
      </c>
      <c r="L221" s="1" t="s">
        <v>2300</v>
      </c>
      <c r="N221" s="1" t="s">
        <v>2316</v>
      </c>
      <c r="P221" s="1" t="s">
        <v>2303</v>
      </c>
      <c r="Q221" s="1">
        <v>2009</v>
      </c>
      <c r="R221" s="1" t="s">
        <v>2304</v>
      </c>
      <c r="S221" s="1" t="s">
        <v>27</v>
      </c>
      <c r="T221" s="6">
        <v>1</v>
      </c>
      <c r="U221" s="1">
        <v>69.900000000000006</v>
      </c>
      <c r="W221" s="1">
        <v>9.1805000000000003</v>
      </c>
      <c r="Y221" s="1">
        <v>2.69517008</v>
      </c>
      <c r="Z221" s="1">
        <v>2.3666962265000002</v>
      </c>
      <c r="AA221" s="1">
        <v>2.69517008</v>
      </c>
      <c r="AB221" s="1">
        <v>0.66452787285000003</v>
      </c>
      <c r="AD221" s="1">
        <v>0.91742350634497005</v>
      </c>
      <c r="AF221" s="1">
        <v>1.229671349</v>
      </c>
      <c r="AG221" s="1">
        <v>1.4739211375000001</v>
      </c>
      <c r="AW221" s="1">
        <v>0.12717833814999999</v>
      </c>
      <c r="BA221" s="1">
        <v>2.038222373</v>
      </c>
      <c r="BG221" s="1">
        <v>0.53229609079999995</v>
      </c>
      <c r="BZ221" s="1">
        <v>0.39753758680000001</v>
      </c>
      <c r="CK221" s="1">
        <v>1.9708431209999999</v>
      </c>
      <c r="DN221" s="1">
        <v>1.3138954140000001</v>
      </c>
      <c r="EH221" s="1">
        <v>0.31499800309999998</v>
      </c>
      <c r="EX221" s="1">
        <v>0.1566567609</v>
      </c>
      <c r="FE221" s="1">
        <v>0.20971792184999999</v>
      </c>
      <c r="FM221" s="1">
        <v>0.70074422079999998</v>
      </c>
    </row>
    <row r="222" spans="1:169" x14ac:dyDescent="0.2">
      <c r="A222" s="1" t="s">
        <v>2317</v>
      </c>
      <c r="B222" s="1" t="s">
        <v>55</v>
      </c>
      <c r="C222" s="1" t="s">
        <v>2318</v>
      </c>
      <c r="E222" s="1">
        <v>13</v>
      </c>
      <c r="F222" s="1" t="s">
        <v>1210</v>
      </c>
      <c r="H222" s="1" t="s">
        <v>2319</v>
      </c>
      <c r="I222" s="1" t="s">
        <v>7</v>
      </c>
      <c r="J222" s="1" t="s">
        <v>1212</v>
      </c>
      <c r="K222" s="1" t="s">
        <v>1213</v>
      </c>
      <c r="L222" s="1" t="s">
        <v>1212</v>
      </c>
      <c r="N222" s="1" t="s">
        <v>2320</v>
      </c>
      <c r="O222" s="1">
        <v>1</v>
      </c>
      <c r="P222" s="1" t="s">
        <v>2321</v>
      </c>
      <c r="Q222" s="1">
        <v>2009</v>
      </c>
      <c r="R222" s="1" t="s">
        <v>2322</v>
      </c>
      <c r="S222" s="1" t="s">
        <v>27</v>
      </c>
      <c r="T222" s="6">
        <v>1</v>
      </c>
      <c r="U222" s="1">
        <v>76.8</v>
      </c>
      <c r="V222" s="1">
        <v>5.0199999999999996</v>
      </c>
    </row>
    <row r="223" spans="1:169" x14ac:dyDescent="0.2">
      <c r="A223" s="1" t="s">
        <v>2323</v>
      </c>
      <c r="B223" s="1" t="s">
        <v>55</v>
      </c>
      <c r="C223" s="1" t="s">
        <v>2318</v>
      </c>
      <c r="E223" s="1">
        <v>13</v>
      </c>
      <c r="F223" s="1" t="s">
        <v>1210</v>
      </c>
      <c r="H223" s="1" t="s">
        <v>2324</v>
      </c>
      <c r="I223" s="1" t="s">
        <v>11</v>
      </c>
      <c r="J223" s="1" t="s">
        <v>1212</v>
      </c>
      <c r="K223" s="1" t="s">
        <v>1213</v>
      </c>
      <c r="L223" s="1" t="s">
        <v>1212</v>
      </c>
      <c r="N223" s="1" t="s">
        <v>2325</v>
      </c>
      <c r="O223" s="1">
        <v>1</v>
      </c>
      <c r="P223" s="1" t="s">
        <v>2321</v>
      </c>
      <c r="Q223" s="1">
        <v>2009</v>
      </c>
      <c r="R223" s="1" t="s">
        <v>2322</v>
      </c>
      <c r="S223" s="1" t="s">
        <v>27</v>
      </c>
      <c r="T223" s="6">
        <v>1</v>
      </c>
      <c r="U223" s="1">
        <v>69.400000000000006</v>
      </c>
      <c r="V223" s="1">
        <v>5.85</v>
      </c>
    </row>
    <row r="224" spans="1:169" x14ac:dyDescent="0.2">
      <c r="A224" s="1" t="s">
        <v>2326</v>
      </c>
      <c r="B224" s="1" t="s">
        <v>55</v>
      </c>
      <c r="C224" s="1" t="s">
        <v>2318</v>
      </c>
      <c r="E224" s="1">
        <v>13</v>
      </c>
      <c r="F224" s="1" t="s">
        <v>1210</v>
      </c>
      <c r="H224" s="1" t="s">
        <v>2327</v>
      </c>
      <c r="I224" s="1" t="s">
        <v>11</v>
      </c>
      <c r="J224" s="1" t="s">
        <v>1212</v>
      </c>
      <c r="K224" s="1" t="s">
        <v>1213</v>
      </c>
      <c r="L224" s="1" t="s">
        <v>1212</v>
      </c>
      <c r="N224" s="1" t="s">
        <v>2328</v>
      </c>
      <c r="O224" s="1">
        <v>1</v>
      </c>
      <c r="P224" s="1" t="s">
        <v>2321</v>
      </c>
      <c r="Q224" s="1">
        <v>2009</v>
      </c>
      <c r="R224" s="1" t="s">
        <v>2322</v>
      </c>
      <c r="S224" s="1" t="s">
        <v>27</v>
      </c>
      <c r="T224" s="6">
        <v>1</v>
      </c>
      <c r="U224" s="1">
        <v>72.7</v>
      </c>
      <c r="V224" s="1">
        <v>5.16</v>
      </c>
    </row>
    <row r="225" spans="1:22" x14ac:dyDescent="0.2">
      <c r="A225" s="1" t="s">
        <v>2329</v>
      </c>
      <c r="B225" s="1" t="s">
        <v>55</v>
      </c>
      <c r="C225" s="1" t="s">
        <v>2318</v>
      </c>
      <c r="E225" s="1">
        <v>13</v>
      </c>
      <c r="F225" s="1" t="s">
        <v>1210</v>
      </c>
      <c r="H225" s="1" t="s">
        <v>2330</v>
      </c>
      <c r="I225" s="1" t="s">
        <v>11</v>
      </c>
      <c r="J225" s="1" t="s">
        <v>1212</v>
      </c>
      <c r="K225" s="1" t="s">
        <v>1213</v>
      </c>
      <c r="L225" s="1" t="s">
        <v>1212</v>
      </c>
      <c r="N225" s="1" t="s">
        <v>2331</v>
      </c>
      <c r="O225" s="1">
        <v>1</v>
      </c>
      <c r="P225" s="1" t="s">
        <v>2321</v>
      </c>
      <c r="Q225" s="1">
        <v>2009</v>
      </c>
      <c r="R225" s="1" t="s">
        <v>2322</v>
      </c>
      <c r="S225" s="1" t="s">
        <v>27</v>
      </c>
      <c r="T225" s="6">
        <v>1</v>
      </c>
      <c r="U225" s="1">
        <v>72.7</v>
      </c>
      <c r="V225" s="1">
        <v>5.22</v>
      </c>
    </row>
    <row r="226" spans="1:22" x14ac:dyDescent="0.2">
      <c r="A226" s="1" t="s">
        <v>2332</v>
      </c>
      <c r="B226" s="1" t="s">
        <v>55</v>
      </c>
      <c r="C226" s="1" t="s">
        <v>2318</v>
      </c>
      <c r="E226" s="1">
        <v>13</v>
      </c>
      <c r="F226" s="1" t="s">
        <v>1210</v>
      </c>
      <c r="H226" s="1" t="s">
        <v>2333</v>
      </c>
      <c r="I226" s="1" t="s">
        <v>11</v>
      </c>
      <c r="J226" s="1" t="s">
        <v>1212</v>
      </c>
      <c r="K226" s="1" t="s">
        <v>1213</v>
      </c>
      <c r="L226" s="1" t="s">
        <v>1212</v>
      </c>
      <c r="N226" s="1" t="s">
        <v>2334</v>
      </c>
      <c r="O226" s="1">
        <v>1</v>
      </c>
      <c r="P226" s="1" t="s">
        <v>2321</v>
      </c>
      <c r="Q226" s="1">
        <v>2009</v>
      </c>
      <c r="R226" s="1" t="s">
        <v>2322</v>
      </c>
      <c r="S226" s="1" t="s">
        <v>27</v>
      </c>
      <c r="T226" s="6">
        <v>1</v>
      </c>
      <c r="U226" s="1">
        <v>70.7</v>
      </c>
      <c r="V226" s="1">
        <v>8.02</v>
      </c>
    </row>
    <row r="227" spans="1:22" x14ac:dyDescent="0.2">
      <c r="A227" s="1" t="s">
        <v>2335</v>
      </c>
      <c r="B227" s="1" t="s">
        <v>55</v>
      </c>
      <c r="C227" s="1" t="s">
        <v>2336</v>
      </c>
      <c r="E227" s="1">
        <v>36</v>
      </c>
      <c r="F227" s="1" t="s">
        <v>2337</v>
      </c>
      <c r="H227" s="1" t="s">
        <v>2338</v>
      </c>
      <c r="I227" s="1" t="s">
        <v>7</v>
      </c>
      <c r="J227" s="1" t="s">
        <v>2339</v>
      </c>
      <c r="K227" s="1" t="s">
        <v>2340</v>
      </c>
      <c r="L227" s="1" t="s">
        <v>2339</v>
      </c>
      <c r="M227" s="1" t="s">
        <v>2341</v>
      </c>
      <c r="O227" s="1">
        <v>1</v>
      </c>
      <c r="Q227" s="1">
        <v>1993</v>
      </c>
      <c r="R227" s="1" t="s">
        <v>2342</v>
      </c>
      <c r="S227" s="1" t="s">
        <v>27</v>
      </c>
      <c r="T227" s="6">
        <v>1</v>
      </c>
      <c r="U227" s="1">
        <v>70.099999999999994</v>
      </c>
      <c r="V227" s="1">
        <v>14.7</v>
      </c>
    </row>
    <row r="228" spans="1:22" x14ac:dyDescent="0.2">
      <c r="A228" s="1" t="s">
        <v>2343</v>
      </c>
      <c r="B228" s="1" t="s">
        <v>55</v>
      </c>
      <c r="C228" s="1" t="s">
        <v>2336</v>
      </c>
      <c r="E228" s="1">
        <v>24</v>
      </c>
      <c r="F228" s="1" t="s">
        <v>2344</v>
      </c>
      <c r="H228" s="1" t="s">
        <v>2345</v>
      </c>
      <c r="I228" s="1" t="s">
        <v>7</v>
      </c>
      <c r="J228" s="1" t="s">
        <v>2346</v>
      </c>
      <c r="K228" s="1" t="s">
        <v>2347</v>
      </c>
      <c r="L228" s="1" t="s">
        <v>2348</v>
      </c>
      <c r="M228" s="1" t="s">
        <v>2349</v>
      </c>
      <c r="O228" s="1">
        <v>1</v>
      </c>
      <c r="Q228" s="1">
        <v>1993</v>
      </c>
      <c r="R228" s="1" t="s">
        <v>2342</v>
      </c>
      <c r="S228" s="1" t="s">
        <v>27</v>
      </c>
      <c r="T228" s="6">
        <v>1</v>
      </c>
      <c r="U228" s="1">
        <v>72.7</v>
      </c>
      <c r="V228" s="1">
        <v>7.5</v>
      </c>
    </row>
    <row r="229" spans="1:22" x14ac:dyDescent="0.2">
      <c r="A229" s="1" t="s">
        <v>2350</v>
      </c>
      <c r="B229" s="1" t="s">
        <v>55</v>
      </c>
      <c r="C229" s="1" t="s">
        <v>2336</v>
      </c>
      <c r="E229" s="1">
        <v>35</v>
      </c>
      <c r="F229" s="1" t="s">
        <v>2351</v>
      </c>
      <c r="H229" s="1" t="s">
        <v>2352</v>
      </c>
      <c r="I229" s="1" t="s">
        <v>7</v>
      </c>
      <c r="J229" s="1" t="s">
        <v>2353</v>
      </c>
      <c r="K229" s="1" t="s">
        <v>2354</v>
      </c>
      <c r="L229" s="1" t="s">
        <v>2353</v>
      </c>
      <c r="M229" s="1" t="s">
        <v>2355</v>
      </c>
      <c r="O229" s="1">
        <v>1</v>
      </c>
      <c r="Q229" s="1">
        <v>1993</v>
      </c>
      <c r="R229" s="1" t="s">
        <v>2342</v>
      </c>
      <c r="S229" s="1" t="s">
        <v>27</v>
      </c>
      <c r="T229" s="6">
        <v>1</v>
      </c>
      <c r="U229" s="1">
        <v>81.5</v>
      </c>
      <c r="V229" s="1">
        <v>6.1</v>
      </c>
    </row>
    <row r="230" spans="1:22" x14ac:dyDescent="0.2">
      <c r="A230" s="1" t="s">
        <v>2356</v>
      </c>
      <c r="B230" s="1" t="s">
        <v>55</v>
      </c>
      <c r="C230" s="1" t="s">
        <v>2336</v>
      </c>
      <c r="E230" s="1">
        <v>37</v>
      </c>
      <c r="F230" s="1" t="s">
        <v>2017</v>
      </c>
      <c r="H230" s="1" t="s">
        <v>2357</v>
      </c>
      <c r="I230" s="1" t="s">
        <v>7</v>
      </c>
      <c r="J230" s="1" t="s">
        <v>2358</v>
      </c>
      <c r="K230" s="1" t="s">
        <v>2021</v>
      </c>
      <c r="L230" s="1" t="s">
        <v>2020</v>
      </c>
      <c r="M230" s="1" t="s">
        <v>2359</v>
      </c>
      <c r="O230" s="1">
        <v>1</v>
      </c>
      <c r="Q230" s="1">
        <v>1993</v>
      </c>
      <c r="R230" s="1" t="s">
        <v>2342</v>
      </c>
      <c r="S230" s="1" t="s">
        <v>27</v>
      </c>
      <c r="T230" s="6">
        <v>1</v>
      </c>
      <c r="U230" s="1" t="s">
        <v>2360</v>
      </c>
      <c r="V230" s="1" t="s">
        <v>2362</v>
      </c>
    </row>
    <row r="231" spans="1:22" x14ac:dyDescent="0.2">
      <c r="A231" s="1" t="s">
        <v>2363</v>
      </c>
      <c r="B231" s="1" t="s">
        <v>55</v>
      </c>
      <c r="C231" s="1" t="s">
        <v>2336</v>
      </c>
      <c r="E231" s="1">
        <v>33</v>
      </c>
      <c r="F231" s="1" t="s">
        <v>2364</v>
      </c>
      <c r="H231" s="1" t="s">
        <v>2365</v>
      </c>
      <c r="I231" s="1" t="s">
        <v>7</v>
      </c>
      <c r="J231" s="1" t="s">
        <v>2366</v>
      </c>
      <c r="K231" s="1" t="s">
        <v>2367</v>
      </c>
      <c r="L231" s="1" t="s">
        <v>2368</v>
      </c>
      <c r="M231" s="1" t="s">
        <v>2369</v>
      </c>
      <c r="O231" s="1">
        <v>1</v>
      </c>
      <c r="Q231" s="1">
        <v>1993</v>
      </c>
      <c r="R231" s="1" t="s">
        <v>2342</v>
      </c>
      <c r="S231" s="1" t="s">
        <v>27</v>
      </c>
      <c r="T231" s="6">
        <v>1</v>
      </c>
      <c r="U231" s="1">
        <v>77</v>
      </c>
      <c r="V231" s="1">
        <v>4.9000000000000004</v>
      </c>
    </row>
    <row r="232" spans="1:22" x14ac:dyDescent="0.2">
      <c r="A232" s="1" t="s">
        <v>2370</v>
      </c>
      <c r="B232" s="1" t="s">
        <v>55</v>
      </c>
      <c r="C232" s="1" t="s">
        <v>2336</v>
      </c>
      <c r="E232" s="1">
        <v>33</v>
      </c>
      <c r="F232" s="1" t="s">
        <v>2371</v>
      </c>
      <c r="H232" s="1" t="s">
        <v>2372</v>
      </c>
      <c r="I232" s="1" t="s">
        <v>7</v>
      </c>
      <c r="J232" s="1" t="s">
        <v>2373</v>
      </c>
      <c r="K232" s="1" t="s">
        <v>2374</v>
      </c>
      <c r="L232" s="1" t="s">
        <v>2373</v>
      </c>
      <c r="M232" s="1" t="s">
        <v>2375</v>
      </c>
      <c r="O232" s="1">
        <v>1</v>
      </c>
      <c r="Q232" s="1">
        <v>1993</v>
      </c>
      <c r="R232" s="1" t="s">
        <v>2342</v>
      </c>
      <c r="S232" s="1" t="s">
        <v>27</v>
      </c>
      <c r="T232" s="6">
        <v>1</v>
      </c>
      <c r="U232" s="1">
        <v>79.099999999999994</v>
      </c>
      <c r="V232" s="1">
        <v>2.2000000000000002</v>
      </c>
    </row>
    <row r="233" spans="1:22" x14ac:dyDescent="0.2">
      <c r="A233" s="1" t="s">
        <v>2376</v>
      </c>
      <c r="B233" s="1" t="s">
        <v>55</v>
      </c>
      <c r="C233" s="1" t="s">
        <v>2336</v>
      </c>
      <c r="E233" s="1">
        <v>37</v>
      </c>
      <c r="F233" s="1" t="s">
        <v>2043</v>
      </c>
      <c r="H233" s="1" t="s">
        <v>2377</v>
      </c>
      <c r="I233" s="1" t="s">
        <v>7</v>
      </c>
      <c r="J233" s="1" t="s">
        <v>2046</v>
      </c>
      <c r="K233" s="1" t="s">
        <v>2047</v>
      </c>
      <c r="L233" s="1" t="s">
        <v>2046</v>
      </c>
      <c r="M233" s="1" t="s">
        <v>2378</v>
      </c>
      <c r="O233" s="1">
        <v>1</v>
      </c>
      <c r="Q233" s="1">
        <v>1993</v>
      </c>
      <c r="R233" s="1" t="s">
        <v>2342</v>
      </c>
      <c r="S233" s="1" t="s">
        <v>27</v>
      </c>
      <c r="T233" s="6">
        <v>1</v>
      </c>
      <c r="U233" s="1">
        <v>80</v>
      </c>
      <c r="V233" s="1">
        <v>1.8</v>
      </c>
    </row>
    <row r="234" spans="1:22" x14ac:dyDescent="0.2">
      <c r="A234" s="1" t="s">
        <v>2379</v>
      </c>
      <c r="B234" s="1" t="s">
        <v>55</v>
      </c>
      <c r="C234" s="1" t="s">
        <v>2336</v>
      </c>
      <c r="E234" s="1">
        <v>34</v>
      </c>
      <c r="F234" s="1" t="s">
        <v>2380</v>
      </c>
      <c r="H234" s="1" t="s">
        <v>2381</v>
      </c>
      <c r="I234" s="1" t="s">
        <v>7</v>
      </c>
      <c r="J234" s="1" t="s">
        <v>2382</v>
      </c>
      <c r="K234" s="1" t="s">
        <v>2383</v>
      </c>
      <c r="L234" s="1" t="s">
        <v>2384</v>
      </c>
      <c r="M234" s="1" t="s">
        <v>2385</v>
      </c>
      <c r="O234" s="1">
        <v>1</v>
      </c>
      <c r="Q234" s="1">
        <v>1993</v>
      </c>
      <c r="R234" s="1" t="s">
        <v>2342</v>
      </c>
      <c r="S234" s="1" t="s">
        <v>27</v>
      </c>
      <c r="T234" s="6">
        <v>1</v>
      </c>
      <c r="U234" s="1">
        <v>76</v>
      </c>
      <c r="V234" s="1">
        <v>1.7</v>
      </c>
    </row>
    <row r="235" spans="1:22" x14ac:dyDescent="0.2">
      <c r="A235" s="1" t="s">
        <v>2386</v>
      </c>
      <c r="B235" s="1" t="s">
        <v>55</v>
      </c>
      <c r="C235" s="1" t="s">
        <v>2336</v>
      </c>
      <c r="E235" s="1">
        <v>37</v>
      </c>
      <c r="F235" s="1" t="s">
        <v>2023</v>
      </c>
      <c r="H235" s="1" t="s">
        <v>2387</v>
      </c>
      <c r="I235" s="1" t="s">
        <v>7</v>
      </c>
      <c r="J235" s="1" t="s">
        <v>2026</v>
      </c>
      <c r="K235" s="1" t="s">
        <v>2027</v>
      </c>
      <c r="L235" s="1" t="s">
        <v>2026</v>
      </c>
      <c r="M235" s="1" t="s">
        <v>2388</v>
      </c>
      <c r="O235" s="1">
        <v>1</v>
      </c>
      <c r="Q235" s="1">
        <v>1993</v>
      </c>
      <c r="R235" s="1" t="s">
        <v>2342</v>
      </c>
      <c r="S235" s="1" t="s">
        <v>27</v>
      </c>
      <c r="T235" s="6">
        <v>1</v>
      </c>
      <c r="U235" s="1">
        <v>76.5</v>
      </c>
      <c r="V235" s="1">
        <v>1.7</v>
      </c>
    </row>
    <row r="236" spans="1:22" x14ac:dyDescent="0.2">
      <c r="A236" s="1" t="s">
        <v>2389</v>
      </c>
      <c r="B236" s="1" t="s">
        <v>55</v>
      </c>
      <c r="C236" s="1" t="s">
        <v>2336</v>
      </c>
      <c r="E236" s="1">
        <v>37</v>
      </c>
      <c r="F236" s="1" t="s">
        <v>2390</v>
      </c>
      <c r="H236" s="1" t="s">
        <v>2391</v>
      </c>
      <c r="I236" s="1" t="s">
        <v>7</v>
      </c>
      <c r="J236" s="1" t="s">
        <v>2392</v>
      </c>
      <c r="K236" s="1" t="s">
        <v>2393</v>
      </c>
      <c r="L236" s="1" t="s">
        <v>2394</v>
      </c>
      <c r="M236" s="1" t="s">
        <v>2385</v>
      </c>
      <c r="O236" s="1">
        <v>1</v>
      </c>
      <c r="Q236" s="1">
        <v>1993</v>
      </c>
      <c r="R236" s="1" t="s">
        <v>2342</v>
      </c>
      <c r="S236" s="1" t="s">
        <v>27</v>
      </c>
      <c r="T236" s="6">
        <v>1</v>
      </c>
      <c r="U236" s="1">
        <v>75.3</v>
      </c>
      <c r="V236" s="1">
        <v>1.4</v>
      </c>
    </row>
    <row r="237" spans="1:22" x14ac:dyDescent="0.2">
      <c r="A237" s="1" t="s">
        <v>2395</v>
      </c>
      <c r="B237" s="1" t="s">
        <v>55</v>
      </c>
      <c r="C237" s="1" t="s">
        <v>2336</v>
      </c>
      <c r="E237" s="1">
        <v>33</v>
      </c>
      <c r="F237" s="1" t="s">
        <v>2396</v>
      </c>
      <c r="H237" s="1" t="s">
        <v>2397</v>
      </c>
      <c r="I237" s="1" t="s">
        <v>7</v>
      </c>
      <c r="J237" s="1" t="s">
        <v>2398</v>
      </c>
      <c r="K237" s="1" t="s">
        <v>2399</v>
      </c>
      <c r="L237" s="1" t="s">
        <v>2398</v>
      </c>
      <c r="M237" s="1" t="s">
        <v>2400</v>
      </c>
      <c r="O237" s="1">
        <v>1</v>
      </c>
      <c r="Q237" s="1">
        <v>1993</v>
      </c>
      <c r="R237" s="1" t="s">
        <v>2342</v>
      </c>
      <c r="S237" s="1" t="s">
        <v>27</v>
      </c>
      <c r="T237" s="6">
        <v>1</v>
      </c>
      <c r="U237" s="1">
        <v>79.5</v>
      </c>
      <c r="V237" s="1">
        <v>1.3</v>
      </c>
    </row>
    <row r="238" spans="1:22" x14ac:dyDescent="0.2">
      <c r="A238" s="1" t="s">
        <v>2401</v>
      </c>
      <c r="B238" s="1" t="s">
        <v>55</v>
      </c>
      <c r="C238" s="1" t="s">
        <v>2336</v>
      </c>
      <c r="E238" s="1">
        <v>35</v>
      </c>
      <c r="F238" s="1" t="s">
        <v>2029</v>
      </c>
      <c r="H238" s="1" t="s">
        <v>2402</v>
      </c>
      <c r="I238" s="1" t="s">
        <v>7</v>
      </c>
      <c r="J238" s="1" t="s">
        <v>2034</v>
      </c>
      <c r="K238" s="1" t="s">
        <v>2033</v>
      </c>
      <c r="L238" s="1" t="s">
        <v>2034</v>
      </c>
      <c r="M238" s="1" t="s">
        <v>2403</v>
      </c>
      <c r="O238" s="1">
        <v>1</v>
      </c>
      <c r="Q238" s="1">
        <v>1993</v>
      </c>
      <c r="R238" s="1" t="s">
        <v>2342</v>
      </c>
      <c r="S238" s="1" t="s">
        <v>27</v>
      </c>
      <c r="T238" s="6">
        <v>1</v>
      </c>
      <c r="U238" s="1">
        <v>77.599999999999994</v>
      </c>
      <c r="V238" s="1">
        <v>1.2</v>
      </c>
    </row>
    <row r="239" spans="1:22" x14ac:dyDescent="0.2">
      <c r="A239" s="1" t="s">
        <v>2404</v>
      </c>
      <c r="B239" s="1" t="s">
        <v>55</v>
      </c>
      <c r="C239" s="1" t="s">
        <v>2336</v>
      </c>
      <c r="E239" s="1">
        <v>33</v>
      </c>
      <c r="F239" s="1" t="s">
        <v>2405</v>
      </c>
      <c r="H239" s="1" t="s">
        <v>2406</v>
      </c>
      <c r="I239" s="1" t="s">
        <v>7</v>
      </c>
      <c r="J239" s="1" t="s">
        <v>2407</v>
      </c>
      <c r="K239" s="1" t="s">
        <v>2408</v>
      </c>
      <c r="L239" s="1" t="s">
        <v>2409</v>
      </c>
      <c r="M239" s="1" t="s">
        <v>2410</v>
      </c>
      <c r="O239" s="1">
        <v>1</v>
      </c>
      <c r="Q239" s="1">
        <v>1993</v>
      </c>
      <c r="R239" s="1" t="s">
        <v>2342</v>
      </c>
      <c r="S239" s="1" t="s">
        <v>27</v>
      </c>
      <c r="T239" s="6">
        <v>1</v>
      </c>
      <c r="U239" s="1">
        <v>77.099999999999994</v>
      </c>
      <c r="V239" s="1">
        <v>1.2</v>
      </c>
    </row>
    <row r="240" spans="1:22" x14ac:dyDescent="0.2">
      <c r="A240" s="1" t="s">
        <v>2411</v>
      </c>
      <c r="B240" s="1" t="s">
        <v>55</v>
      </c>
      <c r="C240" s="1" t="s">
        <v>2336</v>
      </c>
      <c r="E240" s="1">
        <v>33</v>
      </c>
      <c r="F240" s="1" t="s">
        <v>2412</v>
      </c>
      <c r="H240" s="1" t="s">
        <v>2413</v>
      </c>
      <c r="I240" s="1" t="s">
        <v>7</v>
      </c>
      <c r="J240" s="1" t="s">
        <v>2414</v>
      </c>
      <c r="K240" s="1" t="s">
        <v>2415</v>
      </c>
      <c r="L240" s="1" t="s">
        <v>2416</v>
      </c>
      <c r="M240" s="1" t="s">
        <v>2417</v>
      </c>
      <c r="O240" s="1">
        <v>1</v>
      </c>
      <c r="Q240" s="1">
        <v>1993</v>
      </c>
      <c r="R240" s="1" t="s">
        <v>2342</v>
      </c>
      <c r="S240" s="1" t="s">
        <v>27</v>
      </c>
      <c r="T240" s="6">
        <v>1</v>
      </c>
      <c r="U240" s="1">
        <v>89.8</v>
      </c>
      <c r="V240" s="1">
        <v>0.8</v>
      </c>
    </row>
    <row r="241" spans="1:169" x14ac:dyDescent="0.2">
      <c r="A241" s="1" t="s">
        <v>2418</v>
      </c>
      <c r="B241" s="1" t="s">
        <v>55</v>
      </c>
      <c r="C241" s="1" t="s">
        <v>2336</v>
      </c>
      <c r="E241" s="1">
        <v>25</v>
      </c>
      <c r="F241" s="1" t="s">
        <v>2419</v>
      </c>
      <c r="H241" s="1" t="s">
        <v>2420</v>
      </c>
      <c r="I241" s="1" t="s">
        <v>7</v>
      </c>
      <c r="J241" s="1" t="s">
        <v>2421</v>
      </c>
      <c r="K241" s="1" t="s">
        <v>2422</v>
      </c>
      <c r="L241" s="1" t="s">
        <v>2421</v>
      </c>
      <c r="M241" s="1" t="s">
        <v>2423</v>
      </c>
      <c r="O241" s="1">
        <v>1</v>
      </c>
      <c r="Q241" s="1">
        <v>1993</v>
      </c>
      <c r="R241" s="1" t="s">
        <v>2342</v>
      </c>
      <c r="S241" s="1" t="s">
        <v>27</v>
      </c>
      <c r="T241" s="6">
        <v>1</v>
      </c>
      <c r="U241" s="1" t="s">
        <v>2424</v>
      </c>
      <c r="V241" s="1" t="s">
        <v>2426</v>
      </c>
    </row>
    <row r="242" spans="1:169" x14ac:dyDescent="0.2">
      <c r="A242" s="1" t="s">
        <v>2427</v>
      </c>
      <c r="B242" s="1" t="s">
        <v>55</v>
      </c>
      <c r="C242" s="1" t="s">
        <v>2336</v>
      </c>
      <c r="E242" s="1">
        <v>38</v>
      </c>
      <c r="F242" s="1" t="s">
        <v>2428</v>
      </c>
      <c r="H242" s="1" t="s">
        <v>2429</v>
      </c>
      <c r="I242" s="1" t="s">
        <v>7</v>
      </c>
      <c r="J242" s="1" t="s">
        <v>2430</v>
      </c>
      <c r="K242" s="1" t="s">
        <v>2431</v>
      </c>
      <c r="L242" s="1" t="s">
        <v>2432</v>
      </c>
      <c r="M242" s="1" t="s">
        <v>2433</v>
      </c>
      <c r="O242" s="1">
        <v>1</v>
      </c>
      <c r="Q242" s="1">
        <v>1993</v>
      </c>
      <c r="R242" s="1" t="s">
        <v>2342</v>
      </c>
      <c r="S242" s="1" t="s">
        <v>27</v>
      </c>
      <c r="T242" s="6">
        <v>1</v>
      </c>
      <c r="U242" s="1">
        <v>79.5</v>
      </c>
      <c r="V242" s="1">
        <v>0.8</v>
      </c>
    </row>
    <row r="243" spans="1:169" x14ac:dyDescent="0.2">
      <c r="A243" s="1" t="s">
        <v>2434</v>
      </c>
      <c r="B243" s="1" t="s">
        <v>55</v>
      </c>
      <c r="C243" s="1" t="s">
        <v>2336</v>
      </c>
      <c r="E243" s="1">
        <v>33</v>
      </c>
      <c r="F243" s="1" t="s">
        <v>2435</v>
      </c>
      <c r="H243" s="1" t="s">
        <v>2436</v>
      </c>
      <c r="I243" s="1" t="s">
        <v>7</v>
      </c>
      <c r="J243" s="1" t="s">
        <v>2437</v>
      </c>
      <c r="L243" s="1" t="s">
        <v>2438</v>
      </c>
      <c r="M243" s="1" t="s">
        <v>2439</v>
      </c>
      <c r="O243" s="1">
        <v>1</v>
      </c>
      <c r="Q243" s="1">
        <v>1993</v>
      </c>
      <c r="R243" s="1" t="s">
        <v>2342</v>
      </c>
      <c r="S243" s="1" t="s">
        <v>27</v>
      </c>
      <c r="T243" s="6">
        <v>1</v>
      </c>
      <c r="U243" s="1">
        <v>75.5</v>
      </c>
      <c r="V243" s="1">
        <v>1.4</v>
      </c>
    </row>
    <row r="244" spans="1:169" x14ac:dyDescent="0.2">
      <c r="A244" s="1" t="s">
        <v>2440</v>
      </c>
      <c r="B244" s="1" t="s">
        <v>55</v>
      </c>
      <c r="C244" s="1" t="s">
        <v>2336</v>
      </c>
      <c r="E244" s="1">
        <v>13</v>
      </c>
      <c r="F244" s="1" t="s">
        <v>2441</v>
      </c>
      <c r="H244" s="1" t="s">
        <v>2442</v>
      </c>
      <c r="I244" s="1" t="s">
        <v>7</v>
      </c>
      <c r="J244" s="1" t="s">
        <v>2443</v>
      </c>
      <c r="K244" s="1" t="s">
        <v>2444</v>
      </c>
      <c r="L244" s="1" t="s">
        <v>2445</v>
      </c>
      <c r="M244" s="1" t="s">
        <v>2446</v>
      </c>
      <c r="O244" s="1">
        <v>1</v>
      </c>
      <c r="Q244" s="1">
        <v>1993</v>
      </c>
      <c r="R244" s="1" t="s">
        <v>2342</v>
      </c>
      <c r="S244" s="1" t="s">
        <v>27</v>
      </c>
      <c r="T244" s="6">
        <v>1</v>
      </c>
      <c r="U244" s="1">
        <v>77.900000000000006</v>
      </c>
      <c r="V244" s="1">
        <v>1.3</v>
      </c>
    </row>
    <row r="245" spans="1:169" x14ac:dyDescent="0.2">
      <c r="A245" s="1" t="s">
        <v>2447</v>
      </c>
      <c r="B245" s="1" t="s">
        <v>55</v>
      </c>
      <c r="C245" s="1" t="s">
        <v>2336</v>
      </c>
      <c r="E245" s="1">
        <v>11</v>
      </c>
      <c r="F245" s="1" t="s">
        <v>2124</v>
      </c>
      <c r="H245" s="1" t="s">
        <v>2448</v>
      </c>
      <c r="I245" s="1" t="s">
        <v>7</v>
      </c>
      <c r="J245" s="1" t="s">
        <v>2165</v>
      </c>
      <c r="K245" s="1" t="s">
        <v>2128</v>
      </c>
      <c r="L245" s="1" t="s">
        <v>2165</v>
      </c>
      <c r="M245" s="1" t="s">
        <v>2449</v>
      </c>
      <c r="O245" s="1">
        <v>1</v>
      </c>
      <c r="Q245" s="1">
        <v>1993</v>
      </c>
      <c r="R245" s="1" t="s">
        <v>2342</v>
      </c>
      <c r="S245" s="1" t="s">
        <v>27</v>
      </c>
      <c r="T245" s="6">
        <v>1</v>
      </c>
      <c r="U245" s="1">
        <v>82.8</v>
      </c>
      <c r="V245" s="1">
        <v>0.6</v>
      </c>
    </row>
    <row r="246" spans="1:169" x14ac:dyDescent="0.2">
      <c r="A246" s="1" t="s">
        <v>2450</v>
      </c>
      <c r="B246" s="1" t="s">
        <v>55</v>
      </c>
      <c r="C246" s="1" t="s">
        <v>2336</v>
      </c>
      <c r="E246" s="1">
        <v>11</v>
      </c>
      <c r="F246" s="1" t="s">
        <v>2139</v>
      </c>
      <c r="H246" s="1" t="s">
        <v>2451</v>
      </c>
      <c r="I246" s="1" t="s">
        <v>7</v>
      </c>
      <c r="J246" s="1" t="s">
        <v>2142</v>
      </c>
      <c r="K246" s="1" t="s">
        <v>2143</v>
      </c>
      <c r="L246" s="1" t="s">
        <v>2142</v>
      </c>
      <c r="M246" s="1" t="s">
        <v>2452</v>
      </c>
      <c r="O246" s="1">
        <v>1</v>
      </c>
      <c r="Q246" s="1">
        <v>1993</v>
      </c>
      <c r="R246" s="1" t="s">
        <v>2342</v>
      </c>
      <c r="S246" s="1" t="s">
        <v>27</v>
      </c>
      <c r="T246" s="6">
        <v>1</v>
      </c>
      <c r="U246" s="1">
        <v>79.7</v>
      </c>
      <c r="V246" s="1">
        <v>1</v>
      </c>
    </row>
    <row r="247" spans="1:169" x14ac:dyDescent="0.2">
      <c r="A247" s="1" t="s">
        <v>2453</v>
      </c>
      <c r="B247" s="1" t="s">
        <v>55</v>
      </c>
      <c r="C247" s="1" t="s">
        <v>2454</v>
      </c>
      <c r="E247" s="1">
        <v>13</v>
      </c>
      <c r="F247" s="1" t="s">
        <v>2455</v>
      </c>
      <c r="G247" s="1" t="s">
        <v>2456</v>
      </c>
      <c r="H247" s="1" t="s">
        <v>2457</v>
      </c>
      <c r="I247" s="1" t="s">
        <v>7</v>
      </c>
      <c r="J247" s="1" t="s">
        <v>2458</v>
      </c>
      <c r="K247" s="1" t="s">
        <v>2459</v>
      </c>
      <c r="L247" s="1" t="s">
        <v>2460</v>
      </c>
      <c r="O247" s="1">
        <v>1</v>
      </c>
      <c r="P247" s="1" t="s">
        <v>1270</v>
      </c>
      <c r="Q247" s="1">
        <v>2000</v>
      </c>
      <c r="R247" s="1" t="s">
        <v>2461</v>
      </c>
      <c r="S247" s="1" t="s">
        <v>27</v>
      </c>
      <c r="T247" s="6">
        <v>1</v>
      </c>
      <c r="U247" s="1">
        <v>70.489999999999995</v>
      </c>
      <c r="V247" s="1">
        <v>2.5299999999999998</v>
      </c>
      <c r="Y247" s="1">
        <v>1.0289153600000001</v>
      </c>
      <c r="Z247" s="1">
        <v>0.64085460999999999</v>
      </c>
      <c r="AA247" s="1">
        <v>0.54772003000000002</v>
      </c>
      <c r="AD247" s="1">
        <v>0.87647826086956504</v>
      </c>
      <c r="AF247" s="1">
        <v>0.35701589</v>
      </c>
      <c r="AG247" s="1">
        <v>0.19070413999999999</v>
      </c>
      <c r="AW247" s="1">
        <v>5.9872229999999999E-2</v>
      </c>
      <c r="BA247" s="1">
        <v>0.92025835</v>
      </c>
      <c r="BG247" s="1">
        <v>4.878478E-2</v>
      </c>
      <c r="CA247" s="1">
        <v>0.16409425999999999</v>
      </c>
      <c r="CK247" s="1">
        <v>0.26388130999999998</v>
      </c>
      <c r="CM247" s="1">
        <v>6.6524700000000006E-2</v>
      </c>
      <c r="CV247" s="1">
        <v>0.14635434</v>
      </c>
      <c r="DN247" s="1">
        <v>0.19070413999999999</v>
      </c>
      <c r="ET247" s="1">
        <v>0.32818851999999998</v>
      </c>
      <c r="FE247" s="1">
        <v>2.8827370000000001E-2</v>
      </c>
    </row>
    <row r="248" spans="1:169" x14ac:dyDescent="0.2">
      <c r="A248" s="1" t="s">
        <v>2462</v>
      </c>
      <c r="B248" s="1" t="s">
        <v>55</v>
      </c>
      <c r="C248" s="1" t="s">
        <v>2454</v>
      </c>
      <c r="E248" s="1">
        <v>13</v>
      </c>
      <c r="F248" s="1" t="s">
        <v>2463</v>
      </c>
      <c r="G248" s="1" t="s">
        <v>2464</v>
      </c>
      <c r="H248" s="1" t="s">
        <v>2465</v>
      </c>
      <c r="I248" s="1" t="s">
        <v>7</v>
      </c>
      <c r="J248" s="1" t="s">
        <v>2466</v>
      </c>
      <c r="K248" s="1" t="s">
        <v>2467</v>
      </c>
      <c r="L248" s="1" t="s">
        <v>2466</v>
      </c>
      <c r="O248" s="1">
        <v>1</v>
      </c>
      <c r="P248" s="1" t="s">
        <v>1270</v>
      </c>
      <c r="Q248" s="1">
        <v>2000</v>
      </c>
      <c r="R248" s="1" t="s">
        <v>2461</v>
      </c>
      <c r="S248" s="1" t="s">
        <v>27</v>
      </c>
      <c r="T248" s="6">
        <v>1</v>
      </c>
      <c r="U248" s="1">
        <v>72.47</v>
      </c>
      <c r="V248" s="1">
        <v>2.17</v>
      </c>
      <c r="Z248" s="1">
        <v>1.3246534400000001</v>
      </c>
      <c r="AA248" s="1">
        <v>0.55695656000000004</v>
      </c>
      <c r="AD248" s="1">
        <v>0.86710138248847901</v>
      </c>
      <c r="AF248" s="1">
        <v>0.39137487999999998</v>
      </c>
      <c r="AG248" s="1">
        <v>0.16558168000000001</v>
      </c>
      <c r="CM248" s="1">
        <v>0.47981055</v>
      </c>
      <c r="CV248" s="1">
        <v>0.84484289000000001</v>
      </c>
      <c r="DN248" s="1">
        <v>0.16558168000000001</v>
      </c>
      <c r="ET248" s="1">
        <v>0.25025413000000002</v>
      </c>
      <c r="FE248" s="1">
        <v>0.14112074999999999</v>
      </c>
    </row>
    <row r="249" spans="1:169" x14ac:dyDescent="0.2">
      <c r="A249" s="1" t="s">
        <v>2468</v>
      </c>
      <c r="B249" s="1" t="s">
        <v>55</v>
      </c>
      <c r="C249" s="1" t="s">
        <v>2454</v>
      </c>
      <c r="E249" s="1">
        <v>13</v>
      </c>
      <c r="F249" s="1" t="s">
        <v>2469</v>
      </c>
      <c r="G249" s="1" t="s">
        <v>2470</v>
      </c>
      <c r="H249" s="1" t="s">
        <v>2471</v>
      </c>
      <c r="I249" s="1" t="s">
        <v>7</v>
      </c>
      <c r="J249" s="1" t="s">
        <v>2472</v>
      </c>
      <c r="K249" s="1" t="s">
        <v>2470</v>
      </c>
      <c r="L249" s="1" t="s">
        <v>2472</v>
      </c>
      <c r="O249" s="1">
        <v>1</v>
      </c>
      <c r="P249" s="1" t="s">
        <v>1270</v>
      </c>
      <c r="Q249" s="1">
        <v>2000</v>
      </c>
      <c r="R249" s="1" t="s">
        <v>2461</v>
      </c>
      <c r="S249" s="1" t="s">
        <v>27</v>
      </c>
      <c r="T249" s="6">
        <v>1</v>
      </c>
      <c r="U249" s="1">
        <v>70.73</v>
      </c>
      <c r="V249" s="1">
        <v>6.15</v>
      </c>
      <c r="Y249" s="1">
        <v>1.7120546999999999</v>
      </c>
      <c r="AA249" s="1">
        <v>3.8884902499999998</v>
      </c>
      <c r="AD249" s="1">
        <v>0.90974796747967501</v>
      </c>
      <c r="AF249" s="1">
        <v>2.0533466499999999</v>
      </c>
      <c r="AG249" s="1">
        <v>1.8351436000000001</v>
      </c>
      <c r="BG249" s="1">
        <v>1.7120546999999999</v>
      </c>
      <c r="DN249" s="1">
        <v>1.8351436000000001</v>
      </c>
      <c r="FE249" s="1">
        <v>1.0966102</v>
      </c>
      <c r="FJ249" s="1">
        <v>0.39724145</v>
      </c>
      <c r="FM249" s="1">
        <v>0.55949499999999996</v>
      </c>
    </row>
    <row r="250" spans="1:169" x14ac:dyDescent="0.2">
      <c r="A250" s="1" t="s">
        <v>2473</v>
      </c>
      <c r="B250" s="1" t="s">
        <v>55</v>
      </c>
      <c r="C250" s="1" t="s">
        <v>2454</v>
      </c>
      <c r="E250" s="1">
        <v>33</v>
      </c>
      <c r="F250" s="1" t="s">
        <v>2474</v>
      </c>
      <c r="G250" s="1" t="s">
        <v>2475</v>
      </c>
      <c r="H250" s="1" t="s">
        <v>2457</v>
      </c>
      <c r="I250" s="1" t="s">
        <v>7</v>
      </c>
      <c r="J250" s="1" t="s">
        <v>2476</v>
      </c>
      <c r="K250" s="1" t="s">
        <v>2477</v>
      </c>
      <c r="L250" s="1" t="s">
        <v>2478</v>
      </c>
      <c r="O250" s="1">
        <v>1</v>
      </c>
      <c r="P250" s="1" t="s">
        <v>1270</v>
      </c>
      <c r="Q250" s="1">
        <v>2000</v>
      </c>
      <c r="R250" s="1" t="s">
        <v>2461</v>
      </c>
      <c r="S250" s="1" t="s">
        <v>27</v>
      </c>
      <c r="T250" s="6">
        <v>1</v>
      </c>
      <c r="U250" s="1">
        <v>73.89</v>
      </c>
      <c r="V250" s="1">
        <v>2.73</v>
      </c>
      <c r="Y250" s="1">
        <v>1.1780041000000001</v>
      </c>
      <c r="AA250" s="1">
        <v>1.22127772</v>
      </c>
      <c r="AD250" s="1">
        <v>0.88061904761904797</v>
      </c>
      <c r="AF250" s="1">
        <v>0.65150839000000005</v>
      </c>
      <c r="AG250" s="1">
        <v>0.57457751000000001</v>
      </c>
      <c r="BG250" s="1">
        <v>1.1780041000000001</v>
      </c>
      <c r="DN250" s="1">
        <v>0.57457751000000001</v>
      </c>
      <c r="ET250" s="1">
        <v>0.31012761</v>
      </c>
      <c r="FE250" s="1">
        <v>0.10577996000000001</v>
      </c>
      <c r="FM250" s="1">
        <v>0.23079263999999999</v>
      </c>
    </row>
    <row r="251" spans="1:169" x14ac:dyDescent="0.2">
      <c r="A251" s="1" t="s">
        <v>2479</v>
      </c>
      <c r="B251" s="1" t="s">
        <v>55</v>
      </c>
      <c r="C251" s="1" t="s">
        <v>2454</v>
      </c>
      <c r="E251" s="1">
        <v>33</v>
      </c>
      <c r="F251" s="1" t="s">
        <v>2480</v>
      </c>
      <c r="G251" s="1" t="s">
        <v>1408</v>
      </c>
      <c r="H251" s="1" t="s">
        <v>2481</v>
      </c>
      <c r="I251" s="1" t="s">
        <v>7</v>
      </c>
      <c r="J251" s="1" t="s">
        <v>2482</v>
      </c>
      <c r="K251" s="1" t="s">
        <v>2483</v>
      </c>
      <c r="L251" s="1" t="s">
        <v>2484</v>
      </c>
      <c r="O251" s="1">
        <v>1</v>
      </c>
      <c r="P251" s="1" t="s">
        <v>1270</v>
      </c>
      <c r="Q251" s="1">
        <v>2000</v>
      </c>
      <c r="R251" s="1" t="s">
        <v>2461</v>
      </c>
      <c r="S251" s="1" t="s">
        <v>27</v>
      </c>
      <c r="T251" s="6">
        <v>1</v>
      </c>
      <c r="U251" s="1">
        <v>76.95</v>
      </c>
      <c r="V251" s="1">
        <v>2.11</v>
      </c>
      <c r="Y251" s="1">
        <v>0.46736127999999999</v>
      </c>
      <c r="Z251" s="1">
        <v>0.49474572999999999</v>
      </c>
      <c r="AA251" s="1">
        <v>0.87995365999999997</v>
      </c>
      <c r="AD251" s="1">
        <v>0.86522748815165895</v>
      </c>
      <c r="AF251" s="1">
        <v>0.77771838000000004</v>
      </c>
      <c r="AG251" s="1">
        <v>0.10223528</v>
      </c>
      <c r="AW251" s="1">
        <v>4.1989489999999997E-2</v>
      </c>
      <c r="BA251" s="1">
        <v>0.42537179000000003</v>
      </c>
      <c r="CA251" s="1">
        <v>8.9455870000000007E-2</v>
      </c>
      <c r="CK251" s="1">
        <v>0.29940331999999997</v>
      </c>
      <c r="CM251" s="1">
        <v>0.10588654</v>
      </c>
      <c r="DN251" s="1">
        <v>0.10223528</v>
      </c>
      <c r="FE251" s="1">
        <v>0.22455248999999999</v>
      </c>
      <c r="FJ251" s="1">
        <v>5.4768900000000002E-2</v>
      </c>
      <c r="FM251" s="1">
        <v>0.49839698999999998</v>
      </c>
    </row>
    <row r="252" spans="1:169" x14ac:dyDescent="0.2">
      <c r="A252" s="1" t="s">
        <v>2485</v>
      </c>
      <c r="B252" s="1" t="s">
        <v>55</v>
      </c>
      <c r="C252" s="1" t="s">
        <v>2454</v>
      </c>
      <c r="E252" s="1">
        <v>33</v>
      </c>
      <c r="F252" s="1" t="s">
        <v>2486</v>
      </c>
      <c r="G252" s="1" t="s">
        <v>2487</v>
      </c>
      <c r="H252" s="1" t="s">
        <v>2488</v>
      </c>
      <c r="I252" s="1" t="s">
        <v>7</v>
      </c>
      <c r="J252" s="1" t="s">
        <v>2489</v>
      </c>
      <c r="K252" s="1" t="s">
        <v>2490</v>
      </c>
      <c r="L252" s="1" t="s">
        <v>2489</v>
      </c>
      <c r="O252" s="1">
        <v>1</v>
      </c>
      <c r="P252" s="1" t="s">
        <v>1270</v>
      </c>
      <c r="Q252" s="1">
        <v>2000</v>
      </c>
      <c r="R252" s="1" t="s">
        <v>2461</v>
      </c>
      <c r="S252" s="1" t="s">
        <v>27</v>
      </c>
      <c r="T252" s="6">
        <v>1</v>
      </c>
      <c r="U252" s="1">
        <v>71.09</v>
      </c>
      <c r="V252" s="1">
        <v>6.03</v>
      </c>
      <c r="Y252" s="1">
        <v>2.7524609799999999</v>
      </c>
      <c r="Z252" s="1">
        <v>1.93549547</v>
      </c>
      <c r="AA252" s="1">
        <v>0.80051654000000005</v>
      </c>
      <c r="AD252" s="1">
        <v>0.909285240464345</v>
      </c>
      <c r="AF252" s="1">
        <v>0.72923766999999995</v>
      </c>
      <c r="AG252" s="1">
        <v>7.1278869999999994E-2</v>
      </c>
      <c r="AW252" s="1">
        <v>0.41122425000000001</v>
      </c>
      <c r="BA252" s="1">
        <v>2.2370599200000001</v>
      </c>
      <c r="BG252" s="1">
        <v>0.10417680999999999</v>
      </c>
      <c r="CA252" s="1">
        <v>0.98145521000000002</v>
      </c>
      <c r="CK252" s="1">
        <v>9.3210829999999995E-2</v>
      </c>
      <c r="CM252" s="1">
        <v>0.81148251999999998</v>
      </c>
      <c r="CV252" s="1">
        <v>4.9346910000000001E-2</v>
      </c>
      <c r="DN252" s="1">
        <v>7.1278869999999994E-2</v>
      </c>
      <c r="ET252" s="1">
        <v>0.20835361999999999</v>
      </c>
      <c r="FE252" s="1">
        <v>0.23576857000000001</v>
      </c>
      <c r="FJ252" s="1">
        <v>0.14255773999999999</v>
      </c>
      <c r="FM252" s="1">
        <v>0.14255773999999999</v>
      </c>
    </row>
    <row r="253" spans="1:169" x14ac:dyDescent="0.2">
      <c r="A253" s="1" t="s">
        <v>2491</v>
      </c>
      <c r="B253" s="1" t="s">
        <v>55</v>
      </c>
      <c r="C253" s="1" t="s">
        <v>2454</v>
      </c>
      <c r="E253" s="1">
        <v>32</v>
      </c>
      <c r="F253" s="1" t="s">
        <v>2492</v>
      </c>
      <c r="G253" s="1" t="s">
        <v>2493</v>
      </c>
      <c r="H253" s="1" t="s">
        <v>2494</v>
      </c>
      <c r="I253" s="1" t="s">
        <v>7</v>
      </c>
      <c r="J253" s="1" t="s">
        <v>2495</v>
      </c>
      <c r="K253" s="1" t="s">
        <v>2496</v>
      </c>
      <c r="L253" s="1" t="s">
        <v>2495</v>
      </c>
      <c r="O253" s="1">
        <v>1</v>
      </c>
      <c r="P253" s="1" t="s">
        <v>1270</v>
      </c>
      <c r="Q253" s="1">
        <v>2000</v>
      </c>
      <c r="R253" s="1" t="s">
        <v>2461</v>
      </c>
      <c r="S253" s="1" t="s">
        <v>27</v>
      </c>
      <c r="T253" s="6">
        <v>1</v>
      </c>
      <c r="U253" s="1">
        <v>77.209999999999994</v>
      </c>
      <c r="V253" s="1">
        <v>1.82</v>
      </c>
      <c r="Y253" s="1">
        <v>0.80396601999999995</v>
      </c>
      <c r="Z253" s="1">
        <v>0.4587427</v>
      </c>
      <c r="AA253" s="1">
        <v>0.28924116</v>
      </c>
      <c r="AD253" s="1">
        <v>0.85442857142857198</v>
      </c>
      <c r="AF253" s="1">
        <v>0.28924116</v>
      </c>
      <c r="AW253" s="1">
        <v>6.5312519999999999E-2</v>
      </c>
      <c r="BA253" s="1">
        <v>0.73865349999999996</v>
      </c>
      <c r="CA253" s="1">
        <v>0.27369056000000003</v>
      </c>
      <c r="CK253" s="1">
        <v>0.18505214</v>
      </c>
      <c r="FJ253" s="1">
        <v>0.28924116</v>
      </c>
    </row>
    <row r="254" spans="1:169" x14ac:dyDescent="0.2">
      <c r="A254" s="1" t="s">
        <v>2497</v>
      </c>
      <c r="B254" s="1" t="s">
        <v>55</v>
      </c>
      <c r="C254" s="1" t="s">
        <v>2454</v>
      </c>
      <c r="E254" s="1">
        <v>33</v>
      </c>
      <c r="F254" s="1" t="s">
        <v>2498</v>
      </c>
      <c r="G254" s="1" t="s">
        <v>2499</v>
      </c>
      <c r="H254" s="1" t="s">
        <v>2500</v>
      </c>
      <c r="I254" s="1" t="s">
        <v>7</v>
      </c>
      <c r="J254" s="1" t="s">
        <v>2501</v>
      </c>
      <c r="K254" s="1" t="s">
        <v>2502</v>
      </c>
      <c r="L254" s="1" t="s">
        <v>2501</v>
      </c>
      <c r="O254" s="1">
        <v>1</v>
      </c>
      <c r="P254" s="1" t="s">
        <v>1270</v>
      </c>
      <c r="Q254" s="1">
        <v>2000</v>
      </c>
      <c r="R254" s="1" t="s">
        <v>2461</v>
      </c>
      <c r="S254" s="1" t="s">
        <v>27</v>
      </c>
      <c r="T254" s="6">
        <v>1</v>
      </c>
      <c r="U254" s="1">
        <v>78.64</v>
      </c>
      <c r="V254" s="1">
        <v>1.68</v>
      </c>
      <c r="Y254" s="1">
        <v>0.56977599999999995</v>
      </c>
      <c r="Z254" s="1">
        <v>0.62390471999999997</v>
      </c>
      <c r="AA254" s="1">
        <v>0.23503260000000001</v>
      </c>
      <c r="AD254" s="1">
        <v>0.84788095238095196</v>
      </c>
      <c r="AF254" s="1">
        <v>0.23503260000000001</v>
      </c>
      <c r="AW254" s="1">
        <v>2.9913240000000001E-2</v>
      </c>
      <c r="BA254" s="1">
        <v>0.50140288</v>
      </c>
      <c r="BG254" s="1">
        <v>3.8459880000000002E-2</v>
      </c>
      <c r="CA254" s="1">
        <v>0.23645704000000001</v>
      </c>
      <c r="CK254" s="1">
        <v>0.12677516</v>
      </c>
      <c r="CM254" s="1">
        <v>0.21509043999999999</v>
      </c>
      <c r="FE254" s="1">
        <v>4.4157639999999998E-2</v>
      </c>
      <c r="FJ254" s="1">
        <v>2.4215480000000001E-2</v>
      </c>
      <c r="FM254" s="1">
        <v>0.16665948</v>
      </c>
    </row>
    <row r="255" spans="1:169" x14ac:dyDescent="0.2">
      <c r="A255" s="1" t="s">
        <v>2503</v>
      </c>
      <c r="B255" s="1" t="s">
        <v>55</v>
      </c>
      <c r="C255" s="1" t="s">
        <v>2454</v>
      </c>
      <c r="E255" s="1">
        <v>33</v>
      </c>
      <c r="F255" s="1" t="s">
        <v>2504</v>
      </c>
      <c r="G255" s="1" t="s">
        <v>2505</v>
      </c>
      <c r="H255" s="1" t="s">
        <v>2506</v>
      </c>
      <c r="I255" s="1" t="s">
        <v>7</v>
      </c>
      <c r="J255" s="1" t="s">
        <v>2507</v>
      </c>
      <c r="K255" s="1" t="s">
        <v>2508</v>
      </c>
      <c r="L255" s="1" t="s">
        <v>2507</v>
      </c>
      <c r="O255" s="1">
        <v>1</v>
      </c>
      <c r="P255" s="1" t="s">
        <v>1270</v>
      </c>
      <c r="Q255" s="1">
        <v>2000</v>
      </c>
      <c r="R255" s="1" t="s">
        <v>2461</v>
      </c>
      <c r="S255" s="1" t="s">
        <v>27</v>
      </c>
      <c r="T255" s="6">
        <v>1</v>
      </c>
      <c r="U255" s="1">
        <v>76.72</v>
      </c>
      <c r="V255" s="1">
        <v>1.1200000000000001</v>
      </c>
      <c r="Y255" s="1">
        <v>0.33462715999999998</v>
      </c>
      <c r="Z255" s="1">
        <v>0.26156839999999998</v>
      </c>
      <c r="AA255" s="1">
        <v>0.30666640000000001</v>
      </c>
      <c r="AD255" s="1">
        <v>0.80532142857142897</v>
      </c>
      <c r="AF255" s="1">
        <v>0.29584287999999997</v>
      </c>
      <c r="AG255" s="1">
        <v>1.082352E-2</v>
      </c>
      <c r="AW255" s="1">
        <v>3.8784279999999997E-2</v>
      </c>
      <c r="BA255" s="1">
        <v>0.26517624000000001</v>
      </c>
      <c r="BG255" s="1">
        <v>3.0666639999999998E-2</v>
      </c>
      <c r="CA255" s="1">
        <v>6.6745040000000005E-2</v>
      </c>
      <c r="CK255" s="1">
        <v>0.15243124</v>
      </c>
      <c r="CM255" s="1">
        <v>4.2392119999999998E-2</v>
      </c>
      <c r="DN255" s="1">
        <v>1.082352E-2</v>
      </c>
      <c r="FE255" s="1">
        <v>5.0509760000000001E-2</v>
      </c>
      <c r="FJ255" s="1">
        <v>3.5176440000000003E-2</v>
      </c>
      <c r="FM255" s="1">
        <v>0.21015668000000001</v>
      </c>
    </row>
    <row r="256" spans="1:169" x14ac:dyDescent="0.2">
      <c r="A256" s="1" t="s">
        <v>2509</v>
      </c>
      <c r="B256" s="1" t="s">
        <v>55</v>
      </c>
      <c r="C256" s="1" t="s">
        <v>2454</v>
      </c>
      <c r="E256" s="1">
        <v>33</v>
      </c>
      <c r="F256" s="1" t="s">
        <v>2510</v>
      </c>
      <c r="G256" s="1" t="s">
        <v>2511</v>
      </c>
      <c r="H256" s="1" t="s">
        <v>2512</v>
      </c>
      <c r="I256" s="1" t="s">
        <v>7</v>
      </c>
      <c r="J256" s="1" t="s">
        <v>2513</v>
      </c>
      <c r="K256" s="1" t="s">
        <v>2514</v>
      </c>
      <c r="L256" s="1" t="s">
        <v>2513</v>
      </c>
      <c r="O256" s="1">
        <v>1</v>
      </c>
      <c r="P256" s="1" t="s">
        <v>1270</v>
      </c>
      <c r="Q256" s="1">
        <v>2000</v>
      </c>
      <c r="R256" s="1" t="s">
        <v>2461</v>
      </c>
      <c r="S256" s="1" t="s">
        <v>27</v>
      </c>
      <c r="T256" s="6">
        <v>1</v>
      </c>
      <c r="U256" s="1">
        <v>77.12</v>
      </c>
      <c r="V256" s="1">
        <v>1.66</v>
      </c>
      <c r="Y256" s="1">
        <v>0.68883220000000001</v>
      </c>
      <c r="Z256" s="1">
        <v>0.37956060000000003</v>
      </c>
      <c r="AA256" s="1">
        <v>0.33316985999999998</v>
      </c>
      <c r="AD256" s="1">
        <v>0.84685542168674699</v>
      </c>
      <c r="AF256" s="1">
        <v>0.27272131999999999</v>
      </c>
      <c r="AG256" s="1">
        <v>6.0448540000000002E-2</v>
      </c>
      <c r="AW256" s="1">
        <v>5.2013860000000002E-2</v>
      </c>
      <c r="BA256" s="1">
        <v>0.58480447999999996</v>
      </c>
      <c r="BG256" s="1">
        <v>5.2013860000000002E-2</v>
      </c>
      <c r="CA256" s="1">
        <v>0.19821498000000001</v>
      </c>
      <c r="CK256" s="1">
        <v>0.18134562000000001</v>
      </c>
      <c r="DN256" s="1">
        <v>6.0448540000000002E-2</v>
      </c>
      <c r="FJ256" s="1">
        <v>0.27272131999999999</v>
      </c>
    </row>
    <row r="257" spans="1:169" x14ac:dyDescent="0.2">
      <c r="A257" s="1" t="s">
        <v>2515</v>
      </c>
      <c r="B257" s="1" t="s">
        <v>55</v>
      </c>
      <c r="C257" s="1" t="s">
        <v>2454</v>
      </c>
      <c r="E257" s="1">
        <v>12</v>
      </c>
      <c r="F257" s="1" t="s">
        <v>2516</v>
      </c>
      <c r="G257" s="1" t="s">
        <v>2517</v>
      </c>
      <c r="H257" s="1" t="s">
        <v>2518</v>
      </c>
      <c r="I257" s="1" t="s">
        <v>7</v>
      </c>
      <c r="J257" s="1" t="s">
        <v>2519</v>
      </c>
      <c r="K257" s="1" t="s">
        <v>2520</v>
      </c>
      <c r="L257" s="1" t="s">
        <v>2521</v>
      </c>
      <c r="O257" s="1">
        <v>1</v>
      </c>
      <c r="P257" s="1" t="s">
        <v>1270</v>
      </c>
      <c r="Q257" s="1">
        <v>2000</v>
      </c>
      <c r="R257" s="1" t="s">
        <v>2461</v>
      </c>
      <c r="S257" s="1" t="s">
        <v>27</v>
      </c>
      <c r="T257" s="6">
        <v>1</v>
      </c>
      <c r="U257" s="1">
        <v>72.36</v>
      </c>
      <c r="V257" s="1">
        <v>2.2599999999999998</v>
      </c>
      <c r="Y257" s="1">
        <v>0.12776270000000001</v>
      </c>
      <c r="Z257" s="1">
        <v>0.27321561999999999</v>
      </c>
      <c r="AA257" s="1">
        <v>1.58032632</v>
      </c>
      <c r="AD257" s="1">
        <v>0.86972566371681403</v>
      </c>
      <c r="AF257" s="1">
        <v>0.64864140000000003</v>
      </c>
      <c r="AG257" s="1">
        <v>0.93758165999999998</v>
      </c>
      <c r="AW257" s="1">
        <v>0.12776270000000001</v>
      </c>
      <c r="CA257" s="1">
        <v>0.27321561999999999</v>
      </c>
      <c r="DN257" s="1">
        <v>0.93168492000000003</v>
      </c>
      <c r="ET257" s="1">
        <v>0.36166672</v>
      </c>
      <c r="FE257" s="1">
        <v>0.10614132</v>
      </c>
      <c r="FJ257" s="1">
        <v>8.2554359999999993E-2</v>
      </c>
      <c r="FM257" s="1">
        <v>9.8279000000000005E-2</v>
      </c>
    </row>
    <row r="258" spans="1:169" x14ac:dyDescent="0.2">
      <c r="A258" s="1" t="s">
        <v>2522</v>
      </c>
      <c r="B258" s="1" t="s">
        <v>55</v>
      </c>
      <c r="C258" s="1" t="s">
        <v>2454</v>
      </c>
      <c r="E258" s="1">
        <v>23</v>
      </c>
      <c r="F258" s="1" t="s">
        <v>1472</v>
      </c>
      <c r="G258" s="1" t="s">
        <v>2523</v>
      </c>
      <c r="H258" s="1" t="s">
        <v>2524</v>
      </c>
      <c r="I258" s="1" t="s">
        <v>7</v>
      </c>
      <c r="J258" s="1" t="s">
        <v>1474</v>
      </c>
      <c r="K258" s="1" t="s">
        <v>1475</v>
      </c>
      <c r="L258" s="1" t="s">
        <v>1474</v>
      </c>
      <c r="O258" s="1">
        <v>1</v>
      </c>
      <c r="P258" s="1" t="s">
        <v>1270</v>
      </c>
      <c r="Q258" s="1">
        <v>2000</v>
      </c>
      <c r="R258" s="1" t="s">
        <v>2461</v>
      </c>
      <c r="S258" s="1" t="s">
        <v>27</v>
      </c>
      <c r="T258" s="6">
        <v>1</v>
      </c>
      <c r="U258" s="1">
        <v>77.06</v>
      </c>
      <c r="V258" s="1">
        <v>1.5</v>
      </c>
      <c r="Y258" s="1">
        <v>0.3681545</v>
      </c>
      <c r="Z258" s="1">
        <v>0.47370050000000002</v>
      </c>
      <c r="AA258" s="1">
        <v>0.41464499999999999</v>
      </c>
      <c r="AD258" s="1">
        <v>0.837666666666667</v>
      </c>
      <c r="AF258" s="1">
        <v>0.256326</v>
      </c>
      <c r="AG258" s="1">
        <v>0.15831899999999999</v>
      </c>
      <c r="AW258" s="1">
        <v>4.2721000000000002E-2</v>
      </c>
      <c r="BA258" s="1">
        <v>0.32543349999999999</v>
      </c>
      <c r="CA258" s="1">
        <v>0.1243935</v>
      </c>
      <c r="CK258" s="1">
        <v>0.29653400000000002</v>
      </c>
      <c r="DN258" s="1">
        <v>0.15831899999999999</v>
      </c>
      <c r="FE258" s="1">
        <v>2.513E-2</v>
      </c>
      <c r="FM258" s="1">
        <v>0.23119600000000001</v>
      </c>
    </row>
    <row r="259" spans="1:169" x14ac:dyDescent="0.2">
      <c r="A259" s="1" t="s">
        <v>2525</v>
      </c>
      <c r="B259" s="1" t="s">
        <v>55</v>
      </c>
      <c r="C259" s="1" t="s">
        <v>2526</v>
      </c>
      <c r="D259" s="1" t="s">
        <v>2</v>
      </c>
      <c r="E259" s="1">
        <v>13</v>
      </c>
      <c r="F259" s="1" t="s">
        <v>2527</v>
      </c>
      <c r="H259" s="1" t="s">
        <v>2528</v>
      </c>
      <c r="I259" s="1" t="s">
        <v>7</v>
      </c>
      <c r="J259" s="1" t="s">
        <v>2529</v>
      </c>
      <c r="L259" s="1" t="s">
        <v>2529</v>
      </c>
      <c r="M259" s="1" t="s">
        <v>2530</v>
      </c>
      <c r="O259" s="1">
        <v>3</v>
      </c>
      <c r="P259" s="1" t="s">
        <v>1270</v>
      </c>
      <c r="Q259" s="1">
        <v>2008</v>
      </c>
      <c r="R259" s="1" t="s">
        <v>2531</v>
      </c>
      <c r="S259" s="1" t="s">
        <v>27</v>
      </c>
      <c r="T259" s="6">
        <v>1</v>
      </c>
      <c r="U259" s="1">
        <v>79.599999999999994</v>
      </c>
      <c r="V259" s="1">
        <v>2.5099999999999998</v>
      </c>
      <c r="Y259" s="1">
        <v>0.76739166999999997</v>
      </c>
      <c r="Z259" s="1">
        <v>0.75199985999999996</v>
      </c>
      <c r="AA259" s="1">
        <v>0.63766069999999997</v>
      </c>
      <c r="AD259" s="1">
        <v>0.87602788844621504</v>
      </c>
      <c r="AF259" s="1">
        <v>0.143143833</v>
      </c>
      <c r="AG259" s="1">
        <v>0.49033908999999998</v>
      </c>
      <c r="AW259" s="1">
        <v>2.9464322000000001E-2</v>
      </c>
      <c r="BA259" s="1">
        <v>0.54091217999999996</v>
      </c>
      <c r="BG259" s="1">
        <v>0.18426195400000001</v>
      </c>
      <c r="BM259" s="1">
        <v>1.4512278E-2</v>
      </c>
      <c r="BZ259" s="1">
        <v>0.118516937</v>
      </c>
      <c r="CI259" s="1">
        <v>0.65525133999999996</v>
      </c>
      <c r="CV259" s="1">
        <v>2.0888884999999999E-2</v>
      </c>
      <c r="DK259" s="1">
        <v>0.42217536</v>
      </c>
      <c r="EH259" s="1">
        <v>3.1003503000000002E-2</v>
      </c>
      <c r="EX259" s="1">
        <v>7.1461974999999997E-2</v>
      </c>
      <c r="FJ259" s="1">
        <v>2.7265491999999999E-2</v>
      </c>
      <c r="FM259" s="1">
        <v>8.5754369999999996E-2</v>
      </c>
    </row>
    <row r="260" spans="1:169" x14ac:dyDescent="0.2">
      <c r="A260" s="1" t="s">
        <v>2532</v>
      </c>
      <c r="B260" s="1" t="s">
        <v>55</v>
      </c>
      <c r="C260" s="1" t="s">
        <v>2526</v>
      </c>
      <c r="D260" s="1" t="s">
        <v>2</v>
      </c>
      <c r="E260" s="1">
        <v>13</v>
      </c>
      <c r="F260" s="1" t="s">
        <v>2527</v>
      </c>
      <c r="H260" s="1" t="s">
        <v>2533</v>
      </c>
      <c r="I260" s="1" t="s">
        <v>11</v>
      </c>
      <c r="J260" s="1" t="s">
        <v>2529</v>
      </c>
      <c r="L260" s="1" t="s">
        <v>2529</v>
      </c>
      <c r="M260" s="1" t="s">
        <v>2530</v>
      </c>
      <c r="O260" s="1">
        <v>3</v>
      </c>
      <c r="P260" s="1" t="s">
        <v>1270</v>
      </c>
      <c r="Q260" s="1">
        <v>2008</v>
      </c>
      <c r="R260" s="1" t="s">
        <v>2531</v>
      </c>
      <c r="S260" s="1" t="s">
        <v>27</v>
      </c>
      <c r="T260" s="6">
        <v>1</v>
      </c>
      <c r="U260" s="1">
        <v>74.900000000000006</v>
      </c>
      <c r="V260" s="1">
        <v>2.4500000000000002</v>
      </c>
      <c r="Y260" s="1">
        <v>0.77356884999999997</v>
      </c>
      <c r="Z260" s="1">
        <v>0.73928324999999995</v>
      </c>
      <c r="AA260" s="1">
        <v>0.6299979</v>
      </c>
      <c r="AD260" s="1">
        <v>0.87463265306122495</v>
      </c>
      <c r="AF260" s="1">
        <v>0.161785175</v>
      </c>
      <c r="AG260" s="1">
        <v>0.46285559999999998</v>
      </c>
      <c r="AW260" s="1">
        <v>2.7214195E-2</v>
      </c>
      <c r="BA260" s="1">
        <v>0.53571250000000004</v>
      </c>
      <c r="BG260" s="1">
        <v>0.18578509500000001</v>
      </c>
      <c r="BI260" s="1">
        <v>9.2142549999999993E-3</v>
      </c>
      <c r="BM260" s="1">
        <v>1.6499944999999999E-2</v>
      </c>
      <c r="BZ260" s="1">
        <v>0.11785675</v>
      </c>
      <c r="CI260" s="1">
        <v>0.58928375</v>
      </c>
      <c r="CV260" s="1">
        <v>2.057136E-2</v>
      </c>
      <c r="DB260" s="1">
        <v>9.8571100000000005E-3</v>
      </c>
      <c r="DK260" s="1">
        <v>0.37714160000000002</v>
      </c>
      <c r="EH260" s="1">
        <v>2.6999909999999998E-2</v>
      </c>
      <c r="EX260" s="1">
        <v>8.9142559999999996E-2</v>
      </c>
      <c r="FJ260" s="1">
        <v>3.1499895E-2</v>
      </c>
      <c r="FM260" s="1">
        <v>0.10478536500000001</v>
      </c>
    </row>
    <row r="261" spans="1:169" x14ac:dyDescent="0.2">
      <c r="A261" s="1" t="s">
        <v>2534</v>
      </c>
      <c r="B261" s="1" t="s">
        <v>55</v>
      </c>
      <c r="C261" s="1" t="s">
        <v>2526</v>
      </c>
      <c r="D261" s="1" t="s">
        <v>2</v>
      </c>
      <c r="E261" s="1">
        <v>13</v>
      </c>
      <c r="F261" s="1" t="s">
        <v>2527</v>
      </c>
      <c r="H261" s="1" t="s">
        <v>2535</v>
      </c>
      <c r="I261" s="1" t="s">
        <v>11</v>
      </c>
      <c r="J261" s="1" t="s">
        <v>2529</v>
      </c>
      <c r="L261" s="1" t="s">
        <v>2529</v>
      </c>
      <c r="M261" s="1" t="s">
        <v>2530</v>
      </c>
      <c r="O261" s="1">
        <v>3</v>
      </c>
      <c r="P261" s="1" t="s">
        <v>1270</v>
      </c>
      <c r="Q261" s="1">
        <v>2008</v>
      </c>
      <c r="R261" s="1" t="s">
        <v>2531</v>
      </c>
      <c r="S261" s="1" t="s">
        <v>27</v>
      </c>
      <c r="T261" s="6">
        <v>1</v>
      </c>
      <c r="U261" s="1">
        <v>70.2</v>
      </c>
      <c r="V261" s="1">
        <v>3.64</v>
      </c>
      <c r="Y261" s="1">
        <v>1.138592</v>
      </c>
      <c r="Z261" s="1">
        <v>1.1808825599999999</v>
      </c>
      <c r="AA261" s="1">
        <v>0.93364544000000005</v>
      </c>
      <c r="AD261" s="1">
        <v>0.89371428571428602</v>
      </c>
      <c r="AF261" s="1">
        <v>0.20982624</v>
      </c>
      <c r="AG261" s="1">
        <v>0.71568639999999994</v>
      </c>
      <c r="AW261" s="1">
        <v>4.4567743999999999E-2</v>
      </c>
      <c r="BA261" s="1">
        <v>0.78725504000000002</v>
      </c>
      <c r="BG261" s="1">
        <v>0.26838240000000002</v>
      </c>
      <c r="BI261" s="1">
        <v>1.4313728E-2</v>
      </c>
      <c r="BK261" s="1">
        <v>3.25312E-3</v>
      </c>
      <c r="BM261" s="1">
        <v>1.9193407999999999E-2</v>
      </c>
      <c r="BQ261" s="1">
        <v>8.4581120000000003E-3</v>
      </c>
      <c r="BZ261" s="1">
        <v>0.178270976</v>
      </c>
      <c r="CI261" s="1">
        <v>0.94991104000000004</v>
      </c>
      <c r="CV261" s="1">
        <v>3.3507136E-2</v>
      </c>
      <c r="DB261" s="1">
        <v>1.0735296E-2</v>
      </c>
      <c r="DK261" s="1">
        <v>0.6180928</v>
      </c>
      <c r="EH261" s="1">
        <v>5.0098047999999999E-2</v>
      </c>
      <c r="EX261" s="1">
        <v>0.103449216</v>
      </c>
      <c r="FJ261" s="1">
        <v>3.7410880000000001E-2</v>
      </c>
      <c r="FM261" s="1">
        <v>0.123943872</v>
      </c>
    </row>
    <row r="262" spans="1:169" x14ac:dyDescent="0.2">
      <c r="A262" s="1" t="s">
        <v>2536</v>
      </c>
      <c r="B262" s="1" t="s">
        <v>55</v>
      </c>
      <c r="C262" s="1" t="s">
        <v>2526</v>
      </c>
      <c r="D262" s="1" t="s">
        <v>2</v>
      </c>
      <c r="E262" s="1">
        <v>13</v>
      </c>
      <c r="F262" s="1" t="s">
        <v>2527</v>
      </c>
      <c r="H262" s="1" t="s">
        <v>2537</v>
      </c>
      <c r="I262" s="1" t="s">
        <v>11</v>
      </c>
      <c r="J262" s="1" t="s">
        <v>2529</v>
      </c>
      <c r="L262" s="1" t="s">
        <v>2529</v>
      </c>
      <c r="M262" s="1" t="s">
        <v>2530</v>
      </c>
      <c r="O262" s="1">
        <v>3</v>
      </c>
      <c r="P262" s="1" t="s">
        <v>1270</v>
      </c>
      <c r="Q262" s="1">
        <v>2008</v>
      </c>
      <c r="R262" s="1" t="s">
        <v>2531</v>
      </c>
      <c r="S262" s="1" t="s">
        <v>27</v>
      </c>
      <c r="T262" s="6">
        <v>1</v>
      </c>
      <c r="U262" s="1">
        <v>71.400000000000006</v>
      </c>
      <c r="V262" s="1">
        <v>3.37</v>
      </c>
      <c r="Y262" s="1">
        <v>1.06843076</v>
      </c>
      <c r="Z262" s="1">
        <v>1.12845496</v>
      </c>
      <c r="AA262" s="1">
        <v>0.80432428</v>
      </c>
      <c r="AD262" s="1">
        <v>0.89056676557863501</v>
      </c>
      <c r="AF262" s="1">
        <v>0.187575625</v>
      </c>
      <c r="AG262" s="1">
        <v>0.60924562999999998</v>
      </c>
      <c r="AW262" s="1">
        <v>4.1416698000000002E-2</v>
      </c>
      <c r="BA262" s="1">
        <v>0.73529644999999999</v>
      </c>
      <c r="BG262" s="1">
        <v>0.25660345499999998</v>
      </c>
      <c r="BI262" s="1">
        <v>1.3205323999999999E-2</v>
      </c>
      <c r="BK262" s="1">
        <v>3.0012099999999998E-3</v>
      </c>
      <c r="BM262" s="1">
        <v>1.8607502000000001E-2</v>
      </c>
      <c r="BQ262" s="1">
        <v>8.7035089999999999E-3</v>
      </c>
      <c r="BZ262" s="1">
        <v>0.18277368899999999</v>
      </c>
      <c r="CI262" s="1">
        <v>0.89736179000000005</v>
      </c>
      <c r="CV262" s="1">
        <v>3.1212584000000002E-2</v>
      </c>
      <c r="DB262" s="1">
        <v>1.0504235000000001E-2</v>
      </c>
      <c r="DK262" s="1">
        <v>0.51620812000000005</v>
      </c>
      <c r="EH262" s="1">
        <v>4.1416698000000002E-2</v>
      </c>
      <c r="EX262" s="1">
        <v>9.6939082999999995E-2</v>
      </c>
      <c r="FJ262" s="1">
        <v>3.5114157E-2</v>
      </c>
      <c r="FM262" s="1">
        <v>0.112845496</v>
      </c>
    </row>
    <row r="263" spans="1:169" x14ac:dyDescent="0.2">
      <c r="A263" s="1" t="s">
        <v>2538</v>
      </c>
      <c r="B263" s="1" t="s">
        <v>55</v>
      </c>
      <c r="C263" s="1" t="s">
        <v>2526</v>
      </c>
      <c r="D263" s="1" t="s">
        <v>2</v>
      </c>
      <c r="E263" s="1">
        <v>13</v>
      </c>
      <c r="F263" s="1" t="s">
        <v>2527</v>
      </c>
      <c r="H263" s="1" t="s">
        <v>2539</v>
      </c>
      <c r="I263" s="1" t="s">
        <v>11</v>
      </c>
      <c r="J263" s="1" t="s">
        <v>2529</v>
      </c>
      <c r="L263" s="1" t="s">
        <v>2529</v>
      </c>
      <c r="M263" s="1" t="s">
        <v>2530</v>
      </c>
      <c r="O263" s="1">
        <v>3</v>
      </c>
      <c r="P263" s="1" t="s">
        <v>1270</v>
      </c>
      <c r="Q263" s="1">
        <v>2008</v>
      </c>
      <c r="R263" s="1" t="s">
        <v>2531</v>
      </c>
      <c r="S263" s="1" t="s">
        <v>27</v>
      </c>
      <c r="T263" s="6">
        <v>1</v>
      </c>
      <c r="U263" s="1" t="s">
        <v>2540</v>
      </c>
      <c r="V263" s="1" t="s">
        <v>2542</v>
      </c>
      <c r="Y263" s="1">
        <v>1.15025073</v>
      </c>
      <c r="Z263" s="1">
        <v>1.19436064</v>
      </c>
      <c r="AA263" s="1">
        <v>1.0484586300000001</v>
      </c>
      <c r="AD263" s="1">
        <v>0.89526912928759905</v>
      </c>
      <c r="AF263" s="1">
        <v>0.23005014600000001</v>
      </c>
      <c r="AG263" s="1">
        <v>0.81094372999999997</v>
      </c>
      <c r="AW263" s="1">
        <v>4.1395453999999998E-2</v>
      </c>
      <c r="BA263" s="1">
        <v>0.79737144999999998</v>
      </c>
      <c r="BG263" s="1">
        <v>0.27212421399999998</v>
      </c>
      <c r="BI263" s="1">
        <v>1.5268815E-2</v>
      </c>
      <c r="BK263" s="1">
        <v>4.750298E-3</v>
      </c>
      <c r="BM263" s="1">
        <v>2.1037034E-2</v>
      </c>
      <c r="BZ263" s="1">
        <v>0.17202864900000001</v>
      </c>
      <c r="CI263" s="1">
        <v>0.98059722999999999</v>
      </c>
      <c r="CV263" s="1">
        <v>3.1555551000000001E-2</v>
      </c>
      <c r="DB263" s="1">
        <v>1.1536438E-2</v>
      </c>
      <c r="DK263" s="1">
        <v>0.70915163000000003</v>
      </c>
      <c r="EH263" s="1">
        <v>5.4289120000000003E-2</v>
      </c>
      <c r="EX263" s="1">
        <v>0.10857824000000001</v>
      </c>
      <c r="FJ263" s="1">
        <v>4.0038226000000003E-2</v>
      </c>
      <c r="FM263" s="1">
        <v>0.138097949</v>
      </c>
    </row>
    <row r="264" spans="1:169" x14ac:dyDescent="0.2">
      <c r="A264" s="1" t="s">
        <v>2544</v>
      </c>
      <c r="B264" s="1" t="s">
        <v>55</v>
      </c>
      <c r="C264" s="1" t="s">
        <v>2526</v>
      </c>
      <c r="D264" s="1" t="s">
        <v>2</v>
      </c>
      <c r="E264" s="1">
        <v>13</v>
      </c>
      <c r="F264" s="1" t="s">
        <v>2527</v>
      </c>
      <c r="H264" s="1" t="s">
        <v>2545</v>
      </c>
      <c r="I264" s="1" t="s">
        <v>11</v>
      </c>
      <c r="J264" s="1" t="s">
        <v>2529</v>
      </c>
      <c r="L264" s="1" t="s">
        <v>2529</v>
      </c>
      <c r="M264" s="1" t="s">
        <v>2530</v>
      </c>
      <c r="O264" s="1">
        <v>3</v>
      </c>
      <c r="P264" s="1" t="s">
        <v>1270</v>
      </c>
      <c r="Q264" s="1">
        <v>2008</v>
      </c>
      <c r="R264" s="1" t="s">
        <v>2531</v>
      </c>
      <c r="S264" s="1" t="s">
        <v>27</v>
      </c>
      <c r="T264" s="6">
        <v>1</v>
      </c>
      <c r="U264" s="1" t="s">
        <v>2546</v>
      </c>
      <c r="V264" s="1" t="s">
        <v>2548</v>
      </c>
      <c r="Y264" s="1">
        <v>2.3254199999999998</v>
      </c>
      <c r="Z264" s="1">
        <v>3.4752109999999998</v>
      </c>
      <c r="AA264" s="1">
        <v>7.1183690000000004</v>
      </c>
      <c r="AD264" s="1">
        <v>0.92278571428571399</v>
      </c>
      <c r="AF264" s="1">
        <v>0.74801010000000001</v>
      </c>
      <c r="AG264" s="1">
        <v>6.3690670000000003</v>
      </c>
      <c r="AW264" s="1">
        <v>2.0670399999999998E-2</v>
      </c>
      <c r="BA264" s="1">
        <v>1.589037</v>
      </c>
      <c r="BG264" s="1">
        <v>0.5516413</v>
      </c>
      <c r="BI264" s="1">
        <v>6.0719299999999997E-2</v>
      </c>
      <c r="BK264" s="1">
        <v>5.6843600000000001E-2</v>
      </c>
      <c r="BM264" s="1">
        <v>3.4881299999999997E-2</v>
      </c>
      <c r="BZ264" s="1">
        <v>5.0384100000000001E-2</v>
      </c>
      <c r="CI264" s="1">
        <v>3.35894</v>
      </c>
      <c r="CV264" s="1">
        <v>4.2632700000000003E-2</v>
      </c>
      <c r="DB264" s="1">
        <v>7.7514000000000003E-3</v>
      </c>
      <c r="DK264" s="1">
        <v>6.2915530000000004</v>
      </c>
      <c r="EH264" s="1">
        <v>0.63044719999999999</v>
      </c>
      <c r="EX264" s="1">
        <v>7.8805899999999998E-2</v>
      </c>
      <c r="FJ264" s="1">
        <v>2.3254199999999999E-2</v>
      </c>
      <c r="FM264" s="1">
        <v>9.4308699999999995E-2</v>
      </c>
    </row>
    <row r="265" spans="1:169" x14ac:dyDescent="0.2">
      <c r="A265" s="1" t="s">
        <v>2550</v>
      </c>
      <c r="B265" s="1" t="s">
        <v>55</v>
      </c>
      <c r="C265" s="1" t="s">
        <v>2526</v>
      </c>
      <c r="D265" s="1" t="s">
        <v>2</v>
      </c>
      <c r="E265" s="1">
        <v>13</v>
      </c>
      <c r="F265" s="1" t="s">
        <v>2527</v>
      </c>
      <c r="H265" s="1" t="s">
        <v>2551</v>
      </c>
      <c r="I265" s="1" t="s">
        <v>11</v>
      </c>
      <c r="J265" s="1" t="s">
        <v>2529</v>
      </c>
      <c r="L265" s="1" t="s">
        <v>2529</v>
      </c>
      <c r="M265" s="1" t="s">
        <v>2530</v>
      </c>
      <c r="O265" s="1">
        <v>3</v>
      </c>
      <c r="P265" s="1" t="s">
        <v>1270</v>
      </c>
      <c r="Q265" s="1">
        <v>2008</v>
      </c>
      <c r="R265" s="1" t="s">
        <v>2531</v>
      </c>
      <c r="S265" s="1" t="s">
        <v>27</v>
      </c>
      <c r="T265" s="6">
        <v>1</v>
      </c>
      <c r="U265" s="1" t="s">
        <v>2552</v>
      </c>
      <c r="V265" s="1" t="s">
        <v>2554</v>
      </c>
      <c r="Y265" s="1">
        <v>5.3870921999999997</v>
      </c>
      <c r="Z265" s="1">
        <v>2.992829</v>
      </c>
      <c r="AA265" s="1">
        <v>4.6323787999999997</v>
      </c>
      <c r="AD265" s="1">
        <v>0.92285815602836896</v>
      </c>
      <c r="AF265" s="1">
        <v>0.32270504</v>
      </c>
      <c r="AG265" s="1">
        <v>2.4593246999999998</v>
      </c>
      <c r="AW265" s="1">
        <v>4.5543050000000002E-2</v>
      </c>
      <c r="BA265" s="1">
        <v>2.6805338000000001</v>
      </c>
      <c r="BG265" s="1">
        <v>2.3812508999999999</v>
      </c>
      <c r="BI265" s="1">
        <v>0.11320701</v>
      </c>
      <c r="BK265" s="1">
        <v>0.10149594000000001</v>
      </c>
      <c r="BM265" s="1">
        <v>5.8555349999999999E-2</v>
      </c>
      <c r="BZ265" s="1">
        <v>0.10930332</v>
      </c>
      <c r="CI265" s="1">
        <v>2.7976445000000001</v>
      </c>
      <c r="CV265" s="1">
        <v>7.4170109999999997E-2</v>
      </c>
      <c r="DB265" s="1">
        <v>1.431353E-2</v>
      </c>
      <c r="DK265" s="1">
        <v>2.3292017</v>
      </c>
      <c r="DM265" s="1">
        <v>1.8451441399999999</v>
      </c>
      <c r="EH265" s="1">
        <v>0.10670085999999999</v>
      </c>
      <c r="EX265" s="1">
        <v>0.13532791999999999</v>
      </c>
      <c r="FJ265" s="1">
        <v>3.7735669999999999E-2</v>
      </c>
      <c r="FM265" s="1">
        <v>0.17826850999999999</v>
      </c>
    </row>
    <row r="266" spans="1:169" x14ac:dyDescent="0.2">
      <c r="A266" s="1" t="s">
        <v>2556</v>
      </c>
      <c r="B266" s="1" t="s">
        <v>55</v>
      </c>
      <c r="D266" s="1" t="s">
        <v>2</v>
      </c>
      <c r="E266" s="1">
        <v>11</v>
      </c>
      <c r="F266" s="1" t="s">
        <v>1390</v>
      </c>
      <c r="H266" s="1" t="s">
        <v>2153</v>
      </c>
      <c r="I266" s="1" t="s">
        <v>7</v>
      </c>
      <c r="J266" s="1" t="s">
        <v>1393</v>
      </c>
      <c r="K266" s="1" t="s">
        <v>1394</v>
      </c>
      <c r="L266" s="1" t="s">
        <v>1393</v>
      </c>
      <c r="M266" s="1" t="s">
        <v>2557</v>
      </c>
      <c r="O266" s="1">
        <v>1</v>
      </c>
      <c r="Q266" s="1">
        <v>2006</v>
      </c>
      <c r="R266" s="1" t="s">
        <v>2558</v>
      </c>
      <c r="S266" s="1" t="s">
        <v>27</v>
      </c>
      <c r="T266" s="6">
        <v>1</v>
      </c>
      <c r="V266" s="1">
        <v>5.4</v>
      </c>
    </row>
    <row r="267" spans="1:169" x14ac:dyDescent="0.2">
      <c r="A267" s="1" t="s">
        <v>2559</v>
      </c>
      <c r="B267" s="1" t="s">
        <v>55</v>
      </c>
      <c r="D267" s="1" t="s">
        <v>2</v>
      </c>
      <c r="E267" s="1">
        <v>13</v>
      </c>
      <c r="F267" s="1" t="s">
        <v>1695</v>
      </c>
      <c r="H267" s="1" t="s">
        <v>2560</v>
      </c>
      <c r="I267" s="1" t="s">
        <v>7</v>
      </c>
      <c r="J267" s="1" t="s">
        <v>1697</v>
      </c>
      <c r="K267" s="1" t="s">
        <v>1698</v>
      </c>
      <c r="L267" s="1" t="s">
        <v>1697</v>
      </c>
      <c r="M267" s="1" t="s">
        <v>2561</v>
      </c>
      <c r="O267" s="1">
        <v>1</v>
      </c>
      <c r="Q267" s="1">
        <v>2006</v>
      </c>
      <c r="R267" s="1" t="s">
        <v>2558</v>
      </c>
      <c r="S267" s="1" t="s">
        <v>27</v>
      </c>
      <c r="T267" s="6">
        <v>1</v>
      </c>
    </row>
    <row r="268" spans="1:169" x14ac:dyDescent="0.2">
      <c r="A268" s="1" t="s">
        <v>2562</v>
      </c>
      <c r="B268" s="1" t="s">
        <v>55</v>
      </c>
      <c r="D268" s="1" t="s">
        <v>2</v>
      </c>
      <c r="E268" s="1">
        <v>13</v>
      </c>
      <c r="F268" s="1" t="s">
        <v>1280</v>
      </c>
      <c r="H268" s="1" t="s">
        <v>2563</v>
      </c>
      <c r="I268" s="1" t="s">
        <v>7</v>
      </c>
      <c r="J268" s="1" t="s">
        <v>1282</v>
      </c>
      <c r="K268" s="1" t="s">
        <v>1283</v>
      </c>
      <c r="L268" s="1" t="s">
        <v>1282</v>
      </c>
      <c r="M268" s="1" t="s">
        <v>2561</v>
      </c>
      <c r="O268" s="1">
        <v>1</v>
      </c>
      <c r="Q268" s="1">
        <v>2006</v>
      </c>
      <c r="R268" s="1" t="s">
        <v>2558</v>
      </c>
      <c r="S268" s="1" t="s">
        <v>27</v>
      </c>
      <c r="T268" s="6">
        <v>1</v>
      </c>
    </row>
    <row r="269" spans="1:169" x14ac:dyDescent="0.2">
      <c r="A269" s="1" t="s">
        <v>2564</v>
      </c>
      <c r="B269" s="1" t="s">
        <v>55</v>
      </c>
      <c r="C269" s="1" t="s">
        <v>2565</v>
      </c>
      <c r="D269" s="1" t="s">
        <v>2</v>
      </c>
      <c r="E269" s="1">
        <v>23</v>
      </c>
      <c r="F269" s="1" t="s">
        <v>1472</v>
      </c>
      <c r="H269" s="1" t="s">
        <v>2566</v>
      </c>
      <c r="I269" s="1" t="s">
        <v>7</v>
      </c>
      <c r="J269" s="1" t="s">
        <v>1474</v>
      </c>
      <c r="K269" s="1" t="s">
        <v>1475</v>
      </c>
      <c r="L269" s="1" t="s">
        <v>1474</v>
      </c>
      <c r="M269" s="1" t="s">
        <v>2567</v>
      </c>
      <c r="O269" s="1">
        <v>2</v>
      </c>
      <c r="Q269" s="1">
        <v>2006</v>
      </c>
      <c r="R269" s="1" t="s">
        <v>2558</v>
      </c>
      <c r="S269" s="1" t="s">
        <v>27</v>
      </c>
      <c r="T269" s="6">
        <v>1</v>
      </c>
      <c r="V269" s="1">
        <v>5.4</v>
      </c>
    </row>
    <row r="270" spans="1:169" x14ac:dyDescent="0.2">
      <c r="A270" s="1" t="s">
        <v>2568</v>
      </c>
      <c r="B270" s="1" t="s">
        <v>55</v>
      </c>
      <c r="C270" s="1" t="s">
        <v>2565</v>
      </c>
      <c r="D270" s="1" t="s">
        <v>2</v>
      </c>
      <c r="E270" s="1">
        <v>23</v>
      </c>
      <c r="F270" s="1" t="s">
        <v>1472</v>
      </c>
      <c r="H270" s="1" t="s">
        <v>2566</v>
      </c>
      <c r="I270" s="1" t="s">
        <v>7</v>
      </c>
      <c r="J270" s="1" t="s">
        <v>1474</v>
      </c>
      <c r="K270" s="1" t="s">
        <v>1475</v>
      </c>
      <c r="L270" s="1" t="s">
        <v>1474</v>
      </c>
      <c r="M270" s="1" t="s">
        <v>2569</v>
      </c>
      <c r="O270" s="1">
        <v>2</v>
      </c>
      <c r="Q270" s="1">
        <v>2006</v>
      </c>
      <c r="R270" s="1" t="s">
        <v>2558</v>
      </c>
      <c r="S270" s="1" t="s">
        <v>27</v>
      </c>
      <c r="T270" s="6">
        <v>1</v>
      </c>
      <c r="V270" s="1">
        <v>6.1</v>
      </c>
    </row>
    <row r="271" spans="1:169" x14ac:dyDescent="0.2">
      <c r="A271" s="1" t="s">
        <v>2570</v>
      </c>
      <c r="B271" s="1" t="s">
        <v>55</v>
      </c>
      <c r="C271" s="1" t="s">
        <v>2565</v>
      </c>
      <c r="D271" s="1" t="s">
        <v>2</v>
      </c>
      <c r="E271" s="1">
        <v>23</v>
      </c>
      <c r="F271" s="1" t="s">
        <v>1472</v>
      </c>
      <c r="H271" s="1" t="s">
        <v>2566</v>
      </c>
      <c r="I271" s="1" t="s">
        <v>7</v>
      </c>
      <c r="J271" s="1" t="s">
        <v>1474</v>
      </c>
      <c r="K271" s="1" t="s">
        <v>1475</v>
      </c>
      <c r="L271" s="1" t="s">
        <v>1474</v>
      </c>
      <c r="M271" s="1" t="s">
        <v>2571</v>
      </c>
      <c r="O271" s="1">
        <v>2</v>
      </c>
      <c r="Q271" s="1">
        <v>2006</v>
      </c>
      <c r="R271" s="1" t="s">
        <v>2558</v>
      </c>
      <c r="S271" s="1" t="s">
        <v>27</v>
      </c>
      <c r="T271" s="6">
        <v>1</v>
      </c>
      <c r="V271" s="1">
        <v>2.5</v>
      </c>
    </row>
    <row r="272" spans="1:169" x14ac:dyDescent="0.2">
      <c r="A272" s="1" t="s">
        <v>2572</v>
      </c>
      <c r="B272" s="1" t="s">
        <v>55</v>
      </c>
      <c r="C272" s="1" t="s">
        <v>2565</v>
      </c>
      <c r="D272" s="1" t="s">
        <v>2</v>
      </c>
      <c r="E272" s="1">
        <v>23</v>
      </c>
      <c r="F272" s="1" t="s">
        <v>1472</v>
      </c>
      <c r="H272" s="1" t="s">
        <v>2566</v>
      </c>
      <c r="I272" s="1" t="s">
        <v>7</v>
      </c>
      <c r="J272" s="1" t="s">
        <v>1474</v>
      </c>
      <c r="K272" s="1" t="s">
        <v>1475</v>
      </c>
      <c r="L272" s="1" t="s">
        <v>1474</v>
      </c>
      <c r="M272" s="1" t="s">
        <v>2573</v>
      </c>
      <c r="O272" s="1">
        <v>2</v>
      </c>
      <c r="Q272" s="1">
        <v>2006</v>
      </c>
      <c r="R272" s="1" t="s">
        <v>2558</v>
      </c>
      <c r="S272" s="1" t="s">
        <v>27</v>
      </c>
      <c r="T272" s="6">
        <v>1</v>
      </c>
      <c r="V272" s="1">
        <v>5.5</v>
      </c>
    </row>
    <row r="273" spans="1:24" x14ac:dyDescent="0.2">
      <c r="A273" s="1" t="s">
        <v>2574</v>
      </c>
      <c r="B273" s="1" t="s">
        <v>55</v>
      </c>
      <c r="C273" s="1" t="s">
        <v>2565</v>
      </c>
      <c r="D273" s="1" t="s">
        <v>2</v>
      </c>
      <c r="E273" s="1">
        <v>23</v>
      </c>
      <c r="F273" s="1" t="s">
        <v>1472</v>
      </c>
      <c r="H273" s="1" t="s">
        <v>2575</v>
      </c>
      <c r="I273" s="1" t="s">
        <v>7</v>
      </c>
      <c r="J273" s="1" t="s">
        <v>1474</v>
      </c>
      <c r="K273" s="1" t="s">
        <v>1475</v>
      </c>
      <c r="L273" s="1" t="s">
        <v>1474</v>
      </c>
      <c r="M273" s="1" t="s">
        <v>2576</v>
      </c>
      <c r="O273" s="1">
        <v>2</v>
      </c>
      <c r="Q273" s="1">
        <v>2006</v>
      </c>
      <c r="R273" s="1" t="s">
        <v>2558</v>
      </c>
      <c r="S273" s="1" t="s">
        <v>27</v>
      </c>
      <c r="T273" s="6">
        <v>1</v>
      </c>
      <c r="V273" s="1">
        <v>3.8</v>
      </c>
    </row>
    <row r="274" spans="1:24" x14ac:dyDescent="0.2">
      <c r="A274" s="1" t="s">
        <v>2577</v>
      </c>
      <c r="B274" s="1" t="s">
        <v>55</v>
      </c>
      <c r="C274" s="1" t="s">
        <v>2565</v>
      </c>
      <c r="D274" s="1" t="s">
        <v>2</v>
      </c>
      <c r="E274" s="1">
        <v>23</v>
      </c>
      <c r="F274" s="1" t="s">
        <v>1472</v>
      </c>
      <c r="H274" s="1" t="s">
        <v>2575</v>
      </c>
      <c r="I274" s="1" t="s">
        <v>7</v>
      </c>
      <c r="J274" s="1" t="s">
        <v>1474</v>
      </c>
      <c r="K274" s="1" t="s">
        <v>1475</v>
      </c>
      <c r="L274" s="1" t="s">
        <v>1474</v>
      </c>
      <c r="M274" s="1" t="s">
        <v>2578</v>
      </c>
      <c r="O274" s="1">
        <v>2</v>
      </c>
      <c r="Q274" s="1">
        <v>2006</v>
      </c>
      <c r="R274" s="1" t="s">
        <v>2558</v>
      </c>
      <c r="S274" s="1" t="s">
        <v>27</v>
      </c>
      <c r="T274" s="6">
        <v>1</v>
      </c>
      <c r="V274" s="1">
        <v>1.9</v>
      </c>
    </row>
    <row r="275" spans="1:24" x14ac:dyDescent="0.2">
      <c r="A275" s="1" t="s">
        <v>2579</v>
      </c>
      <c r="B275" s="1" t="s">
        <v>55</v>
      </c>
      <c r="C275" s="1" t="s">
        <v>2580</v>
      </c>
      <c r="D275" s="1" t="s">
        <v>2</v>
      </c>
      <c r="E275" s="1">
        <v>23</v>
      </c>
      <c r="F275" s="1" t="s">
        <v>1274</v>
      </c>
      <c r="H275" s="1" t="s">
        <v>2581</v>
      </c>
      <c r="I275" s="1" t="s">
        <v>7</v>
      </c>
      <c r="J275" s="1" t="s">
        <v>1276</v>
      </c>
      <c r="K275" s="1" t="s">
        <v>1277</v>
      </c>
      <c r="L275" s="1" t="s">
        <v>1276</v>
      </c>
      <c r="M275" s="1" t="s">
        <v>2582</v>
      </c>
      <c r="O275" s="1">
        <v>2</v>
      </c>
      <c r="Q275" s="1">
        <v>2006</v>
      </c>
      <c r="R275" s="1" t="s">
        <v>2558</v>
      </c>
      <c r="S275" s="1" t="s">
        <v>27</v>
      </c>
      <c r="T275" s="6">
        <v>1</v>
      </c>
      <c r="V275" s="1">
        <v>14.4</v>
      </c>
    </row>
    <row r="276" spans="1:24" x14ac:dyDescent="0.2">
      <c r="A276" s="1" t="s">
        <v>2583</v>
      </c>
      <c r="B276" s="1" t="s">
        <v>55</v>
      </c>
      <c r="C276" s="1" t="s">
        <v>2584</v>
      </c>
      <c r="D276" s="1" t="s">
        <v>2</v>
      </c>
      <c r="E276" s="1">
        <v>23</v>
      </c>
      <c r="F276" s="1" t="s">
        <v>1274</v>
      </c>
      <c r="H276" s="1" t="s">
        <v>2581</v>
      </c>
      <c r="I276" s="1" t="s">
        <v>7</v>
      </c>
      <c r="J276" s="1" t="s">
        <v>1276</v>
      </c>
      <c r="K276" s="1" t="s">
        <v>1277</v>
      </c>
      <c r="L276" s="1" t="s">
        <v>1276</v>
      </c>
      <c r="M276" s="1" t="s">
        <v>2585</v>
      </c>
      <c r="O276" s="1">
        <v>2</v>
      </c>
      <c r="Q276" s="1">
        <v>2006</v>
      </c>
      <c r="R276" s="1" t="s">
        <v>2558</v>
      </c>
      <c r="S276" s="1" t="s">
        <v>27</v>
      </c>
      <c r="T276" s="6">
        <v>1</v>
      </c>
      <c r="V276" s="1">
        <v>15.8</v>
      </c>
    </row>
    <row r="277" spans="1:24" x14ac:dyDescent="0.2">
      <c r="A277" s="1" t="s">
        <v>2586</v>
      </c>
      <c r="B277" s="1" t="s">
        <v>55</v>
      </c>
      <c r="C277" s="1" t="s">
        <v>2584</v>
      </c>
      <c r="D277" s="1" t="s">
        <v>2</v>
      </c>
      <c r="E277" s="1">
        <v>23</v>
      </c>
      <c r="F277" s="1" t="s">
        <v>1274</v>
      </c>
      <c r="H277" s="1" t="s">
        <v>2581</v>
      </c>
      <c r="I277" s="1" t="s">
        <v>7</v>
      </c>
      <c r="J277" s="1" t="s">
        <v>1276</v>
      </c>
      <c r="K277" s="1" t="s">
        <v>1277</v>
      </c>
      <c r="L277" s="1" t="s">
        <v>1276</v>
      </c>
      <c r="M277" s="1" t="s">
        <v>2585</v>
      </c>
      <c r="O277" s="1">
        <v>2</v>
      </c>
      <c r="Q277" s="1">
        <v>2006</v>
      </c>
      <c r="R277" s="1" t="s">
        <v>2558</v>
      </c>
      <c r="S277" s="1" t="s">
        <v>27</v>
      </c>
      <c r="T277" s="6">
        <v>1</v>
      </c>
      <c r="V277" s="1">
        <v>21.6</v>
      </c>
    </row>
    <row r="278" spans="1:24" x14ac:dyDescent="0.2">
      <c r="A278" s="1" t="s">
        <v>2587</v>
      </c>
      <c r="B278" s="1" t="s">
        <v>55</v>
      </c>
      <c r="C278" s="1" t="s">
        <v>2580</v>
      </c>
      <c r="D278" s="1" t="s">
        <v>2</v>
      </c>
      <c r="E278" s="1">
        <v>23</v>
      </c>
      <c r="F278" s="1" t="s">
        <v>1274</v>
      </c>
      <c r="H278" s="1" t="s">
        <v>2581</v>
      </c>
      <c r="I278" s="1" t="s">
        <v>7</v>
      </c>
      <c r="J278" s="1" t="s">
        <v>1276</v>
      </c>
      <c r="K278" s="1" t="s">
        <v>1277</v>
      </c>
      <c r="L278" s="1" t="s">
        <v>1276</v>
      </c>
      <c r="M278" s="1" t="s">
        <v>2588</v>
      </c>
      <c r="O278" s="1">
        <v>2</v>
      </c>
      <c r="Q278" s="1">
        <v>2006</v>
      </c>
      <c r="R278" s="1" t="s">
        <v>2558</v>
      </c>
      <c r="S278" s="1" t="s">
        <v>27</v>
      </c>
      <c r="T278" s="6">
        <v>1</v>
      </c>
      <c r="V278" s="1">
        <v>14.3</v>
      </c>
    </row>
    <row r="279" spans="1:24" x14ac:dyDescent="0.2">
      <c r="A279" s="1" t="s">
        <v>2589</v>
      </c>
      <c r="B279" s="1" t="s">
        <v>55</v>
      </c>
      <c r="C279" s="1" t="s">
        <v>2580</v>
      </c>
      <c r="D279" s="1" t="s">
        <v>2</v>
      </c>
      <c r="E279" s="1">
        <v>23</v>
      </c>
      <c r="F279" s="1" t="s">
        <v>1274</v>
      </c>
      <c r="H279" s="1" t="s">
        <v>2590</v>
      </c>
      <c r="I279" s="1" t="s">
        <v>7</v>
      </c>
      <c r="J279" s="1" t="s">
        <v>1276</v>
      </c>
      <c r="K279" s="1" t="s">
        <v>1277</v>
      </c>
      <c r="L279" s="1" t="s">
        <v>1276</v>
      </c>
      <c r="M279" s="1" t="s">
        <v>2582</v>
      </c>
      <c r="O279" s="1">
        <v>2</v>
      </c>
      <c r="Q279" s="1">
        <v>2006</v>
      </c>
      <c r="R279" s="1" t="s">
        <v>2558</v>
      </c>
      <c r="S279" s="1" t="s">
        <v>27</v>
      </c>
      <c r="T279" s="6">
        <v>1</v>
      </c>
      <c r="V279" s="1">
        <v>16.3</v>
      </c>
    </row>
    <row r="280" spans="1:24" x14ac:dyDescent="0.2">
      <c r="A280" s="1" t="s">
        <v>2591</v>
      </c>
      <c r="B280" s="1" t="s">
        <v>55</v>
      </c>
      <c r="C280" s="1" t="s">
        <v>2580</v>
      </c>
      <c r="D280" s="1" t="s">
        <v>2</v>
      </c>
      <c r="E280" s="1">
        <v>23</v>
      </c>
      <c r="F280" s="1" t="s">
        <v>1274</v>
      </c>
      <c r="H280" s="1" t="s">
        <v>2590</v>
      </c>
      <c r="I280" s="1" t="s">
        <v>7</v>
      </c>
      <c r="J280" s="1" t="s">
        <v>1276</v>
      </c>
      <c r="K280" s="1" t="s">
        <v>1277</v>
      </c>
      <c r="L280" s="1" t="s">
        <v>1276</v>
      </c>
      <c r="M280" s="1" t="s">
        <v>2588</v>
      </c>
      <c r="O280" s="1">
        <v>2</v>
      </c>
      <c r="Q280" s="1">
        <v>2006</v>
      </c>
      <c r="R280" s="1" t="s">
        <v>2558</v>
      </c>
      <c r="S280" s="1" t="s">
        <v>27</v>
      </c>
      <c r="T280" s="6">
        <v>1</v>
      </c>
      <c r="V280" s="1">
        <v>17</v>
      </c>
    </row>
    <row r="281" spans="1:24" x14ac:dyDescent="0.2">
      <c r="A281" s="1" t="s">
        <v>2592</v>
      </c>
      <c r="B281" s="1" t="s">
        <v>55</v>
      </c>
      <c r="C281" s="1" t="s">
        <v>2584</v>
      </c>
      <c r="D281" s="1" t="s">
        <v>2</v>
      </c>
      <c r="E281" s="1">
        <v>23</v>
      </c>
      <c r="F281" s="1" t="s">
        <v>1274</v>
      </c>
      <c r="H281" s="1" t="s">
        <v>2593</v>
      </c>
      <c r="I281" s="1" t="s">
        <v>11</v>
      </c>
      <c r="J281" s="1" t="s">
        <v>1276</v>
      </c>
      <c r="K281" s="1" t="s">
        <v>1277</v>
      </c>
      <c r="L281" s="1" t="s">
        <v>1276</v>
      </c>
      <c r="O281" s="1">
        <v>1</v>
      </c>
      <c r="Q281" s="1">
        <v>2006</v>
      </c>
      <c r="R281" s="1" t="s">
        <v>2558</v>
      </c>
      <c r="S281" s="1" t="s">
        <v>27</v>
      </c>
      <c r="T281" s="6">
        <v>1</v>
      </c>
      <c r="V281" s="1">
        <v>7</v>
      </c>
    </row>
    <row r="282" spans="1:24" x14ac:dyDescent="0.2">
      <c r="A282" s="1" t="s">
        <v>2594</v>
      </c>
      <c r="B282" s="1" t="s">
        <v>55</v>
      </c>
      <c r="C282" s="1" t="s">
        <v>2595</v>
      </c>
      <c r="D282" s="1" t="s">
        <v>2</v>
      </c>
      <c r="E282" s="1">
        <v>23</v>
      </c>
      <c r="F282" s="1" t="s">
        <v>1274</v>
      </c>
      <c r="H282" s="1" t="s">
        <v>2593</v>
      </c>
      <c r="I282" s="1" t="s">
        <v>11</v>
      </c>
      <c r="J282" s="1" t="s">
        <v>1276</v>
      </c>
      <c r="K282" s="1" t="s">
        <v>1277</v>
      </c>
      <c r="L282" s="1" t="s">
        <v>1276</v>
      </c>
      <c r="O282" s="1">
        <v>1</v>
      </c>
      <c r="Q282" s="1">
        <v>2006</v>
      </c>
      <c r="R282" s="1" t="s">
        <v>2558</v>
      </c>
      <c r="S282" s="1" t="s">
        <v>27</v>
      </c>
      <c r="T282" s="6">
        <v>1</v>
      </c>
      <c r="V282" s="1">
        <v>9.8000000000000007</v>
      </c>
    </row>
    <row r="283" spans="1:24" x14ac:dyDescent="0.2">
      <c r="A283" s="1" t="s">
        <v>2596</v>
      </c>
      <c r="B283" s="1" t="s">
        <v>55</v>
      </c>
      <c r="C283" s="1" t="s">
        <v>2597</v>
      </c>
      <c r="D283" s="1" t="s">
        <v>2</v>
      </c>
      <c r="E283" s="1">
        <v>23</v>
      </c>
      <c r="F283" s="1" t="s">
        <v>1274</v>
      </c>
      <c r="H283" s="1" t="s">
        <v>2593</v>
      </c>
      <c r="I283" s="1" t="s">
        <v>11</v>
      </c>
      <c r="J283" s="1" t="s">
        <v>1276</v>
      </c>
      <c r="K283" s="1" t="s">
        <v>1277</v>
      </c>
      <c r="L283" s="1" t="s">
        <v>1276</v>
      </c>
      <c r="O283" s="1">
        <v>1</v>
      </c>
      <c r="Q283" s="1">
        <v>2006</v>
      </c>
      <c r="R283" s="1" t="s">
        <v>2558</v>
      </c>
      <c r="S283" s="1" t="s">
        <v>27</v>
      </c>
      <c r="T283" s="6">
        <v>1</v>
      </c>
      <c r="V283" s="1">
        <v>10.5</v>
      </c>
    </row>
    <row r="284" spans="1:24" x14ac:dyDescent="0.2">
      <c r="A284" s="1" t="s">
        <v>2598</v>
      </c>
      <c r="B284" s="1" t="s">
        <v>55</v>
      </c>
      <c r="C284" s="1" t="s">
        <v>236</v>
      </c>
      <c r="E284" s="1">
        <v>13</v>
      </c>
      <c r="F284" s="1" t="s">
        <v>2599</v>
      </c>
      <c r="G284" s="1" t="s">
        <v>2600</v>
      </c>
      <c r="H284" s="1" t="s">
        <v>2601</v>
      </c>
      <c r="I284" s="1" t="s">
        <v>7</v>
      </c>
      <c r="J284" s="1" t="s">
        <v>2602</v>
      </c>
      <c r="L284" s="1" t="s">
        <v>2602</v>
      </c>
      <c r="N284" s="1" t="s">
        <v>2603</v>
      </c>
      <c r="O284" s="1">
        <v>1</v>
      </c>
      <c r="P284" s="1" t="s">
        <v>2604</v>
      </c>
      <c r="Q284" s="1">
        <v>2010</v>
      </c>
      <c r="R284" s="1" t="s">
        <v>2605</v>
      </c>
      <c r="S284" s="1" t="s">
        <v>27</v>
      </c>
      <c r="T284" s="6">
        <v>1</v>
      </c>
      <c r="U284" s="1">
        <v>72.91</v>
      </c>
      <c r="X284" s="1">
        <v>3.37</v>
      </c>
    </row>
    <row r="285" spans="1:24" x14ac:dyDescent="0.2">
      <c r="A285" s="1" t="s">
        <v>2606</v>
      </c>
      <c r="B285" s="1" t="s">
        <v>55</v>
      </c>
      <c r="C285" s="1" t="s">
        <v>236</v>
      </c>
      <c r="E285" s="1">
        <v>13</v>
      </c>
      <c r="F285" s="1" t="s">
        <v>2599</v>
      </c>
      <c r="G285" s="1" t="s">
        <v>2600</v>
      </c>
      <c r="H285" s="1" t="s">
        <v>2607</v>
      </c>
      <c r="I285" s="1" t="s">
        <v>11</v>
      </c>
      <c r="J285" s="1" t="s">
        <v>2602</v>
      </c>
      <c r="L285" s="1" t="s">
        <v>2602</v>
      </c>
      <c r="N285" s="1" t="s">
        <v>2608</v>
      </c>
      <c r="O285" s="1">
        <v>1</v>
      </c>
      <c r="P285" s="1" t="s">
        <v>2604</v>
      </c>
      <c r="Q285" s="1">
        <v>2010</v>
      </c>
      <c r="R285" s="1" t="s">
        <v>2605</v>
      </c>
      <c r="S285" s="1" t="s">
        <v>27</v>
      </c>
      <c r="T285" s="6">
        <v>1</v>
      </c>
      <c r="U285" s="1">
        <v>58.51</v>
      </c>
      <c r="X285" s="1">
        <v>8.09</v>
      </c>
    </row>
    <row r="286" spans="1:24" x14ac:dyDescent="0.2">
      <c r="A286" s="1" t="s">
        <v>2609</v>
      </c>
      <c r="B286" s="1" t="s">
        <v>55</v>
      </c>
      <c r="C286" s="1" t="s">
        <v>236</v>
      </c>
      <c r="E286" s="1">
        <v>13</v>
      </c>
      <c r="F286" s="1" t="s">
        <v>2599</v>
      </c>
      <c r="G286" s="1" t="s">
        <v>2600</v>
      </c>
      <c r="H286" s="1" t="s">
        <v>2610</v>
      </c>
      <c r="I286" s="1" t="s">
        <v>11</v>
      </c>
      <c r="J286" s="1" t="s">
        <v>2602</v>
      </c>
      <c r="L286" s="1" t="s">
        <v>2602</v>
      </c>
      <c r="N286" s="1" t="s">
        <v>2611</v>
      </c>
      <c r="O286" s="1">
        <v>1</v>
      </c>
      <c r="P286" s="1" t="s">
        <v>2604</v>
      </c>
      <c r="Q286" s="1">
        <v>2010</v>
      </c>
      <c r="R286" s="1" t="s">
        <v>2605</v>
      </c>
      <c r="S286" s="1" t="s">
        <v>27</v>
      </c>
      <c r="T286" s="6">
        <v>1</v>
      </c>
      <c r="U286" s="1">
        <v>59.68</v>
      </c>
      <c r="X286" s="1">
        <v>7.76</v>
      </c>
    </row>
    <row r="287" spans="1:24" x14ac:dyDescent="0.2">
      <c r="A287" s="1" t="s">
        <v>2612</v>
      </c>
      <c r="B287" s="1" t="s">
        <v>55</v>
      </c>
      <c r="C287" s="1" t="s">
        <v>2613</v>
      </c>
      <c r="D287" s="1" t="s">
        <v>2</v>
      </c>
      <c r="E287" s="1">
        <v>13</v>
      </c>
      <c r="F287" s="1" t="s">
        <v>2614</v>
      </c>
      <c r="H287" s="1" t="s">
        <v>2615</v>
      </c>
      <c r="I287" s="1" t="s">
        <v>7</v>
      </c>
      <c r="J287" s="1" t="s">
        <v>2616</v>
      </c>
      <c r="K287" s="1" t="s">
        <v>2617</v>
      </c>
      <c r="L287" s="1" t="s">
        <v>2618</v>
      </c>
      <c r="N287" s="1" t="s">
        <v>2619</v>
      </c>
      <c r="P287" s="1" t="s">
        <v>2620</v>
      </c>
      <c r="Q287" s="1">
        <v>2007</v>
      </c>
      <c r="R287" s="1" t="s">
        <v>2621</v>
      </c>
      <c r="S287" s="1" t="s">
        <v>27</v>
      </c>
      <c r="T287" s="6">
        <v>1</v>
      </c>
      <c r="U287" s="1">
        <v>75.680000000000007</v>
      </c>
      <c r="X287" s="1">
        <v>3.03</v>
      </c>
    </row>
    <row r="288" spans="1:24" x14ac:dyDescent="0.2">
      <c r="A288" s="1" t="s">
        <v>2622</v>
      </c>
      <c r="B288" s="1" t="s">
        <v>55</v>
      </c>
      <c r="C288" s="1" t="s">
        <v>2613</v>
      </c>
      <c r="D288" s="1" t="s">
        <v>2</v>
      </c>
      <c r="E288" s="1">
        <v>13</v>
      </c>
      <c r="F288" s="1" t="s">
        <v>2614</v>
      </c>
      <c r="H288" s="1" t="s">
        <v>2615</v>
      </c>
      <c r="I288" s="1" t="s">
        <v>7</v>
      </c>
      <c r="J288" s="1" t="s">
        <v>2616</v>
      </c>
      <c r="K288" s="1" t="s">
        <v>2617</v>
      </c>
      <c r="L288" s="1" t="s">
        <v>2618</v>
      </c>
      <c r="N288" s="1" t="s">
        <v>2623</v>
      </c>
      <c r="P288" s="1" t="s">
        <v>2620</v>
      </c>
      <c r="Q288" s="1">
        <v>2007</v>
      </c>
      <c r="R288" s="1" t="s">
        <v>2621</v>
      </c>
      <c r="S288" s="1" t="s">
        <v>27</v>
      </c>
      <c r="T288" s="6">
        <v>1</v>
      </c>
      <c r="U288" s="1">
        <v>75.209999999999994</v>
      </c>
      <c r="X288" s="1">
        <v>2.98</v>
      </c>
    </row>
    <row r="289" spans="1:173" x14ac:dyDescent="0.2">
      <c r="A289" s="1" t="s">
        <v>2624</v>
      </c>
      <c r="B289" s="1" t="s">
        <v>55</v>
      </c>
      <c r="C289" s="1" t="s">
        <v>2613</v>
      </c>
      <c r="D289" s="1" t="s">
        <v>2</v>
      </c>
      <c r="E289" s="1">
        <v>13</v>
      </c>
      <c r="F289" s="1" t="s">
        <v>2614</v>
      </c>
      <c r="H289" s="1" t="s">
        <v>2615</v>
      </c>
      <c r="I289" s="1" t="s">
        <v>7</v>
      </c>
      <c r="J289" s="1" t="s">
        <v>2616</v>
      </c>
      <c r="K289" s="1" t="s">
        <v>2617</v>
      </c>
      <c r="L289" s="1" t="s">
        <v>2618</v>
      </c>
      <c r="N289" s="1" t="s">
        <v>2625</v>
      </c>
      <c r="P289" s="1" t="s">
        <v>2620</v>
      </c>
      <c r="Q289" s="1">
        <v>2007</v>
      </c>
      <c r="R289" s="1" t="s">
        <v>2621</v>
      </c>
      <c r="S289" s="1" t="s">
        <v>27</v>
      </c>
      <c r="T289" s="6">
        <v>1</v>
      </c>
      <c r="U289" s="1">
        <v>75.08</v>
      </c>
      <c r="X289" s="1">
        <v>2.9</v>
      </c>
    </row>
    <row r="290" spans="1:173" x14ac:dyDescent="0.2">
      <c r="A290" s="1" t="s">
        <v>2626</v>
      </c>
      <c r="B290" s="1" t="s">
        <v>55</v>
      </c>
      <c r="C290" s="1" t="s">
        <v>2613</v>
      </c>
      <c r="D290" s="1" t="s">
        <v>2</v>
      </c>
      <c r="E290" s="1">
        <v>13</v>
      </c>
      <c r="F290" s="1" t="s">
        <v>2614</v>
      </c>
      <c r="H290" s="1" t="s">
        <v>2615</v>
      </c>
      <c r="I290" s="1" t="s">
        <v>7</v>
      </c>
      <c r="J290" s="1" t="s">
        <v>2616</v>
      </c>
      <c r="K290" s="1" t="s">
        <v>2617</v>
      </c>
      <c r="L290" s="1" t="s">
        <v>2618</v>
      </c>
      <c r="N290" s="1" t="s">
        <v>2627</v>
      </c>
      <c r="P290" s="1" t="s">
        <v>2620</v>
      </c>
      <c r="Q290" s="1">
        <v>2007</v>
      </c>
      <c r="R290" s="1" t="s">
        <v>2621</v>
      </c>
      <c r="S290" s="1" t="s">
        <v>27</v>
      </c>
      <c r="T290" s="6">
        <v>1</v>
      </c>
      <c r="U290" s="1" t="s">
        <v>2628</v>
      </c>
      <c r="X290" s="1" t="s">
        <v>2630</v>
      </c>
    </row>
    <row r="291" spans="1:173" x14ac:dyDescent="0.2">
      <c r="A291" s="1" t="s">
        <v>2632</v>
      </c>
      <c r="B291" s="1" t="s">
        <v>55</v>
      </c>
      <c r="C291" s="1" t="s">
        <v>2613</v>
      </c>
      <c r="D291" s="1" t="s">
        <v>2</v>
      </c>
      <c r="E291" s="1">
        <v>13</v>
      </c>
      <c r="F291" s="1" t="s">
        <v>2614</v>
      </c>
      <c r="H291" s="1" t="s">
        <v>2615</v>
      </c>
      <c r="I291" s="1" t="s">
        <v>7</v>
      </c>
      <c r="J291" s="1" t="s">
        <v>2616</v>
      </c>
      <c r="K291" s="1" t="s">
        <v>2617</v>
      </c>
      <c r="L291" s="1" t="s">
        <v>2618</v>
      </c>
      <c r="N291" s="1" t="s">
        <v>2633</v>
      </c>
      <c r="P291" s="1" t="s">
        <v>2620</v>
      </c>
      <c r="Q291" s="1">
        <v>2007</v>
      </c>
      <c r="R291" s="1" t="s">
        <v>2621</v>
      </c>
      <c r="S291" s="1" t="s">
        <v>27</v>
      </c>
      <c r="T291" s="6">
        <v>1</v>
      </c>
      <c r="U291" s="1" t="s">
        <v>2628</v>
      </c>
      <c r="X291" s="1" t="s">
        <v>2630</v>
      </c>
    </row>
    <row r="292" spans="1:173" x14ac:dyDescent="0.2">
      <c r="A292" s="1" t="s">
        <v>2636</v>
      </c>
      <c r="B292" s="1" t="s">
        <v>55</v>
      </c>
      <c r="C292" s="1" t="s">
        <v>2613</v>
      </c>
      <c r="D292" s="1" t="s">
        <v>2</v>
      </c>
      <c r="E292" s="1">
        <v>13</v>
      </c>
      <c r="F292" s="1" t="s">
        <v>2614</v>
      </c>
      <c r="H292" s="1" t="s">
        <v>2615</v>
      </c>
      <c r="I292" s="1" t="s">
        <v>7</v>
      </c>
      <c r="J292" s="1" t="s">
        <v>2616</v>
      </c>
      <c r="K292" s="1" t="s">
        <v>2617</v>
      </c>
      <c r="L292" s="1" t="s">
        <v>2618</v>
      </c>
      <c r="N292" s="1" t="s">
        <v>2637</v>
      </c>
      <c r="P292" s="1" t="s">
        <v>2620</v>
      </c>
      <c r="Q292" s="1">
        <v>2007</v>
      </c>
      <c r="R292" s="1" t="s">
        <v>2621</v>
      </c>
      <c r="S292" s="1" t="s">
        <v>27</v>
      </c>
      <c r="T292" s="6">
        <v>1</v>
      </c>
      <c r="U292" s="1" t="s">
        <v>2638</v>
      </c>
      <c r="X292" s="1" t="s">
        <v>2640</v>
      </c>
    </row>
    <row r="293" spans="1:173" x14ac:dyDescent="0.2">
      <c r="A293" s="1" t="s">
        <v>2642</v>
      </c>
      <c r="B293" s="1" t="s">
        <v>55</v>
      </c>
      <c r="C293" s="1" t="s">
        <v>238</v>
      </c>
      <c r="D293" s="1" t="s">
        <v>2</v>
      </c>
      <c r="E293" s="1">
        <v>13</v>
      </c>
      <c r="F293" s="1" t="s">
        <v>2599</v>
      </c>
      <c r="G293" s="1" t="s">
        <v>2600</v>
      </c>
      <c r="H293" s="1" t="s">
        <v>2643</v>
      </c>
      <c r="I293" s="1" t="s">
        <v>7</v>
      </c>
      <c r="J293" s="1" t="s">
        <v>2602</v>
      </c>
      <c r="L293" s="1" t="s">
        <v>2602</v>
      </c>
      <c r="M293" s="1" t="s">
        <v>2644</v>
      </c>
      <c r="N293" s="1" t="s">
        <v>2645</v>
      </c>
      <c r="O293" s="1">
        <v>3</v>
      </c>
      <c r="P293" s="1" t="s">
        <v>2646</v>
      </c>
      <c r="Q293" s="1">
        <v>2001</v>
      </c>
      <c r="R293" s="1" t="s">
        <v>2647</v>
      </c>
      <c r="S293" s="1" t="s">
        <v>27</v>
      </c>
      <c r="T293" s="6">
        <v>1</v>
      </c>
      <c r="U293" s="1">
        <v>73.02</v>
      </c>
      <c r="V293" s="1">
        <v>5.09</v>
      </c>
      <c r="Y293" s="1">
        <v>1.788498151</v>
      </c>
      <c r="AA293" s="1">
        <v>1.8976596400000001</v>
      </c>
      <c r="AD293" s="1">
        <v>0.90490569744597305</v>
      </c>
      <c r="AF293" s="1">
        <v>6.3101789000000005E-2</v>
      </c>
      <c r="AG293" s="1">
        <v>0.55409819100000002</v>
      </c>
      <c r="AW293" s="1">
        <v>6.0798803999999998E-2</v>
      </c>
      <c r="AZ293" s="1">
        <v>2.302985E-3</v>
      </c>
      <c r="BA293" s="1">
        <v>1.223806229</v>
      </c>
      <c r="BB293" s="1">
        <v>4.1453729999999999E-3</v>
      </c>
      <c r="BD293" s="1">
        <v>9.2119400000000001E-3</v>
      </c>
      <c r="BE293" s="1">
        <v>3.6847759999999999E-3</v>
      </c>
      <c r="BF293" s="1">
        <v>2.302985E-3</v>
      </c>
      <c r="BG293" s="1">
        <v>0.45783341799999999</v>
      </c>
      <c r="BJ293" s="1">
        <v>2.4411641000000001E-2</v>
      </c>
      <c r="BX293" s="1">
        <v>1.842388E-2</v>
      </c>
      <c r="BZ293" s="1">
        <v>0.13219133899999999</v>
      </c>
      <c r="CB293" s="1">
        <v>5.5271640000000002E-3</v>
      </c>
      <c r="CK293" s="1">
        <v>1.889829491</v>
      </c>
      <c r="CM293" s="1">
        <v>7.6919698999999994E-2</v>
      </c>
      <c r="CR293" s="1">
        <v>3.2241790000000002E-3</v>
      </c>
      <c r="CV293" s="1">
        <v>3.7308357E-2</v>
      </c>
      <c r="DN293" s="1">
        <v>0.51356565499999995</v>
      </c>
      <c r="DS293" s="1">
        <v>8.2907459999999999E-3</v>
      </c>
      <c r="ED293" s="1">
        <v>4.60597E-3</v>
      </c>
      <c r="EH293" s="1">
        <v>3.1781192999999999E-2</v>
      </c>
      <c r="EJ293" s="1">
        <v>2.8557013999999999E-2</v>
      </c>
      <c r="EL293" s="1">
        <v>2.7635820000000001E-3</v>
      </c>
      <c r="ET293" s="1">
        <v>3.2241790000000002E-3</v>
      </c>
      <c r="EX293" s="1">
        <v>2.5793432000000002E-2</v>
      </c>
      <c r="EY293" s="1">
        <v>2.302985E-3</v>
      </c>
      <c r="FA293" s="1">
        <v>2.302985E-3</v>
      </c>
      <c r="FE293" s="1">
        <v>2.7635820000000001E-3</v>
      </c>
      <c r="FI293" s="1">
        <v>8.2907459999999999E-3</v>
      </c>
      <c r="FJ293" s="1">
        <v>2.7635820000000001E-3</v>
      </c>
      <c r="FM293" s="1">
        <v>1.7042089E-2</v>
      </c>
    </row>
    <row r="294" spans="1:173" x14ac:dyDescent="0.2">
      <c r="A294" s="1" t="s">
        <v>2648</v>
      </c>
      <c r="B294" s="1" t="s">
        <v>55</v>
      </c>
      <c r="C294" s="1" t="s">
        <v>238</v>
      </c>
      <c r="D294" s="1" t="s">
        <v>2</v>
      </c>
      <c r="E294" s="1">
        <v>13</v>
      </c>
      <c r="F294" s="1" t="s">
        <v>2599</v>
      </c>
      <c r="G294" s="1" t="s">
        <v>2600</v>
      </c>
      <c r="H294" s="1" t="s">
        <v>2649</v>
      </c>
      <c r="I294" s="1" t="s">
        <v>7</v>
      </c>
      <c r="J294" s="1" t="s">
        <v>2602</v>
      </c>
      <c r="L294" s="1" t="s">
        <v>2602</v>
      </c>
      <c r="M294" s="1" t="s">
        <v>2644</v>
      </c>
      <c r="N294" s="1" t="s">
        <v>2645</v>
      </c>
      <c r="O294" s="1">
        <v>3</v>
      </c>
      <c r="P294" s="1" t="s">
        <v>2646</v>
      </c>
      <c r="Q294" s="1">
        <v>2001</v>
      </c>
      <c r="R294" s="1" t="s">
        <v>2647</v>
      </c>
      <c r="S294" s="1" t="s">
        <v>27</v>
      </c>
      <c r="T294" s="6">
        <v>1</v>
      </c>
      <c r="U294" s="1">
        <v>71.77</v>
      </c>
      <c r="V294" s="1">
        <v>6.83</v>
      </c>
      <c r="Y294" s="1">
        <v>2.2220234130000001</v>
      </c>
      <c r="AA294" s="1">
        <v>0.86214757600000003</v>
      </c>
      <c r="AD294" s="1">
        <v>0.91206295754026401</v>
      </c>
      <c r="AF294" s="1">
        <v>0.104653752</v>
      </c>
      <c r="AG294" s="1">
        <v>0.71201927700000001</v>
      </c>
      <c r="AW294" s="1">
        <v>7.6621496999999997E-2</v>
      </c>
      <c r="AZ294" s="1">
        <v>3.1146949999999998E-3</v>
      </c>
      <c r="BA294" s="1">
        <v>1.420923859</v>
      </c>
      <c r="BB294" s="1">
        <v>6.8523289999999999E-3</v>
      </c>
      <c r="BD294" s="1">
        <v>1.3704658E-2</v>
      </c>
      <c r="BE294" s="1">
        <v>6.2293899999999996E-3</v>
      </c>
      <c r="BF294" s="1">
        <v>4.9835119999999998E-3</v>
      </c>
      <c r="BG294" s="1">
        <v>0.65408595000000003</v>
      </c>
      <c r="BJ294" s="1">
        <v>3.5507522999999999E-2</v>
      </c>
      <c r="BX294" s="1">
        <v>3.6753400999999998E-2</v>
      </c>
      <c r="BZ294" s="1">
        <v>0.14389890899999999</v>
      </c>
      <c r="CB294" s="1">
        <v>8.7211460000000008E-3</v>
      </c>
      <c r="CK294" s="1">
        <v>2.8038484389999998</v>
      </c>
      <c r="CM294" s="1">
        <v>9.7801422999999998E-2</v>
      </c>
      <c r="CO294" s="1">
        <v>6.2293899999999996E-3</v>
      </c>
      <c r="CV294" s="1">
        <v>4.7343363999999999E-2</v>
      </c>
      <c r="DN294" s="1">
        <v>0.63352896299999995</v>
      </c>
      <c r="DS294" s="1">
        <v>1.0589963000000001E-2</v>
      </c>
      <c r="ED294" s="1">
        <v>9.3440850000000002E-3</v>
      </c>
      <c r="EH294" s="1">
        <v>3.3638705999999997E-2</v>
      </c>
      <c r="EJ294" s="1">
        <v>3.4884584000000003E-2</v>
      </c>
      <c r="ET294" s="1">
        <v>6.2293899999999996E-3</v>
      </c>
      <c r="EX294" s="1">
        <v>4.7966303000000002E-2</v>
      </c>
      <c r="EY294" s="1">
        <v>3.1146949999999998E-3</v>
      </c>
      <c r="FA294" s="1">
        <v>4.3605730000000004E-3</v>
      </c>
      <c r="FE294" s="1">
        <v>6.2293899999999996E-3</v>
      </c>
      <c r="FI294" s="1">
        <v>1.8065231000000001E-2</v>
      </c>
      <c r="FJ294" s="1">
        <v>6.2293899999999996E-3</v>
      </c>
      <c r="FM294" s="1">
        <v>4.8589241999999998E-2</v>
      </c>
    </row>
    <row r="295" spans="1:173" x14ac:dyDescent="0.2">
      <c r="A295" s="1" t="s">
        <v>2650</v>
      </c>
      <c r="B295" s="1" t="s">
        <v>55</v>
      </c>
      <c r="C295" s="1" t="s">
        <v>238</v>
      </c>
      <c r="D295" s="1" t="s">
        <v>2</v>
      </c>
      <c r="E295" s="1">
        <v>13</v>
      </c>
      <c r="F295" s="1" t="s">
        <v>2651</v>
      </c>
      <c r="G295" s="1" t="s">
        <v>2652</v>
      </c>
      <c r="H295" s="1" t="s">
        <v>2653</v>
      </c>
      <c r="I295" s="1" t="s">
        <v>7</v>
      </c>
      <c r="J295" s="1" t="s">
        <v>2654</v>
      </c>
      <c r="K295" s="1" t="s">
        <v>2655</v>
      </c>
      <c r="L295" s="1" t="s">
        <v>1456</v>
      </c>
      <c r="M295" s="1" t="s">
        <v>2644</v>
      </c>
      <c r="N295" s="1" t="s">
        <v>2645</v>
      </c>
      <c r="O295" s="1">
        <v>3</v>
      </c>
      <c r="P295" s="1" t="s">
        <v>2646</v>
      </c>
      <c r="Q295" s="1">
        <v>2001</v>
      </c>
      <c r="R295" s="1" t="s">
        <v>2647</v>
      </c>
      <c r="S295" s="1" t="s">
        <v>27</v>
      </c>
      <c r="T295" s="6">
        <v>1</v>
      </c>
      <c r="U295" s="1">
        <v>70.48</v>
      </c>
      <c r="V295" s="1">
        <v>7.94</v>
      </c>
      <c r="Y295" s="1">
        <v>2.4432262260000002</v>
      </c>
      <c r="AA295" s="1">
        <v>1.073769956</v>
      </c>
      <c r="AD295" s="1">
        <v>0.914989924433249</v>
      </c>
      <c r="AF295" s="1">
        <v>0.14021488600000001</v>
      </c>
      <c r="AG295" s="1">
        <v>0.87906742000000004</v>
      </c>
      <c r="AW295" s="1">
        <v>8.1368224000000003E-2</v>
      </c>
      <c r="AZ295" s="1">
        <v>5.0855140000000002E-3</v>
      </c>
      <c r="BA295" s="1">
        <v>1.6222789660000001</v>
      </c>
      <c r="BB295" s="1">
        <v>9.444526E-3</v>
      </c>
      <c r="BD295" s="1">
        <v>1.8889052E-2</v>
      </c>
      <c r="BE295" s="1">
        <v>9.444526E-3</v>
      </c>
      <c r="BF295" s="1">
        <v>7.9915219999999992E-3</v>
      </c>
      <c r="BG295" s="1">
        <v>0.65167229400000004</v>
      </c>
      <c r="BJ295" s="1">
        <v>3.7051602000000003E-2</v>
      </c>
      <c r="BX295" s="1">
        <v>2.6880574000000001E-2</v>
      </c>
      <c r="BZ295" s="1">
        <v>0.213591588</v>
      </c>
      <c r="CB295" s="1">
        <v>1.3803538000000001E-2</v>
      </c>
      <c r="CK295" s="1">
        <v>3.2859685459999999</v>
      </c>
      <c r="CM295" s="1">
        <v>0.14965941199999999</v>
      </c>
      <c r="CV295" s="1">
        <v>5.8120159999999997E-2</v>
      </c>
      <c r="DN295" s="1">
        <v>0.80133170600000003</v>
      </c>
      <c r="DS295" s="1">
        <v>1.3803538000000001E-2</v>
      </c>
      <c r="ED295" s="1">
        <v>7.9915219999999992E-3</v>
      </c>
      <c r="EH295" s="1">
        <v>4.8675634000000002E-2</v>
      </c>
      <c r="EJ295" s="1">
        <v>4.0684112000000001E-2</v>
      </c>
      <c r="EL295" s="1">
        <v>5.0855140000000002E-3</v>
      </c>
      <c r="ET295" s="1">
        <v>8.7180239999999996E-3</v>
      </c>
      <c r="EX295" s="1">
        <v>4.9402135999999999E-2</v>
      </c>
      <c r="FA295" s="1">
        <v>5.0855140000000002E-3</v>
      </c>
      <c r="FE295" s="1">
        <v>1.0171028E-2</v>
      </c>
      <c r="FI295" s="1">
        <v>1.5256542E-2</v>
      </c>
      <c r="FJ295" s="1">
        <v>5.8120159999999997E-3</v>
      </c>
      <c r="FM295" s="1">
        <v>6.1752670000000003E-2</v>
      </c>
    </row>
    <row r="296" spans="1:173" x14ac:dyDescent="0.2">
      <c r="A296" s="1" t="s">
        <v>2656</v>
      </c>
      <c r="B296" s="1" t="s">
        <v>55</v>
      </c>
      <c r="C296" s="1" t="s">
        <v>238</v>
      </c>
      <c r="D296" s="1" t="s">
        <v>2</v>
      </c>
      <c r="E296" s="1">
        <v>13</v>
      </c>
      <c r="F296" s="1" t="s">
        <v>2657</v>
      </c>
      <c r="G296" s="1" t="s">
        <v>2658</v>
      </c>
      <c r="H296" s="1" t="s">
        <v>2659</v>
      </c>
      <c r="I296" s="1" t="s">
        <v>7</v>
      </c>
      <c r="J296" s="1" t="s">
        <v>2660</v>
      </c>
      <c r="L296" s="1" t="s">
        <v>2660</v>
      </c>
      <c r="M296" s="1" t="s">
        <v>2644</v>
      </c>
      <c r="N296" s="1" t="s">
        <v>2645</v>
      </c>
      <c r="O296" s="1">
        <v>3</v>
      </c>
      <c r="P296" s="1" t="s">
        <v>2646</v>
      </c>
      <c r="Q296" s="1">
        <v>2001</v>
      </c>
      <c r="R296" s="1" t="s">
        <v>2647</v>
      </c>
      <c r="S296" s="1" t="s">
        <v>27</v>
      </c>
      <c r="T296" s="6">
        <v>1</v>
      </c>
      <c r="U296" s="1">
        <v>73.37</v>
      </c>
      <c r="V296" s="1">
        <v>5.6</v>
      </c>
      <c r="Y296" s="1">
        <v>1.71561568</v>
      </c>
      <c r="AA296" s="1">
        <v>0.95334567999999997</v>
      </c>
      <c r="AD296" s="1">
        <v>0.90746428571428595</v>
      </c>
      <c r="AF296" s="1">
        <v>0.12297956</v>
      </c>
      <c r="AG296" s="1">
        <v>0.78564628000000003</v>
      </c>
      <c r="AW296" s="1">
        <v>5.7424339999999997E-2</v>
      </c>
      <c r="BA296" s="1">
        <v>1.1611913</v>
      </c>
      <c r="BB296" s="1">
        <v>7.6226999999999996E-3</v>
      </c>
      <c r="BD296" s="1">
        <v>1.575358E-2</v>
      </c>
      <c r="BE296" s="1">
        <v>8.6390600000000005E-3</v>
      </c>
      <c r="BF296" s="1">
        <v>4.5736199999999996E-3</v>
      </c>
      <c r="BG296" s="1">
        <v>0.42280575999999997</v>
      </c>
      <c r="BJ296" s="1">
        <v>3.7605319999999998E-2</v>
      </c>
      <c r="BX296" s="1">
        <v>2.8966260000000001E-2</v>
      </c>
      <c r="BZ296" s="1">
        <v>0.17837117999999999</v>
      </c>
      <c r="CB296" s="1">
        <v>1.0671780000000001E-2</v>
      </c>
      <c r="CK296" s="1">
        <v>2.0195073200000002</v>
      </c>
      <c r="CM296" s="1">
        <v>0.12704499999999999</v>
      </c>
      <c r="CR296" s="1">
        <v>4.06544E-3</v>
      </c>
      <c r="CV296" s="1">
        <v>4.3703480000000003E-2</v>
      </c>
      <c r="DN296" s="1">
        <v>0.69976386000000002</v>
      </c>
      <c r="DS296" s="1">
        <v>8.1308800000000001E-3</v>
      </c>
      <c r="ED296" s="1">
        <v>1.01636E-2</v>
      </c>
      <c r="EH296" s="1">
        <v>5.1834360000000003E-2</v>
      </c>
      <c r="EJ296" s="1">
        <v>3.608078E-2</v>
      </c>
      <c r="ET296" s="1">
        <v>6.6063399999999996E-3</v>
      </c>
      <c r="EX296" s="1">
        <v>5.3867079999999998E-2</v>
      </c>
      <c r="FA296" s="1">
        <v>6.09816E-3</v>
      </c>
      <c r="FE296" s="1">
        <v>1.0671780000000001E-2</v>
      </c>
      <c r="FI296" s="1">
        <v>1.626176E-2</v>
      </c>
      <c r="FJ296" s="1">
        <v>7.6226999999999996E-3</v>
      </c>
      <c r="FM296" s="1">
        <v>4.6752559999999999E-2</v>
      </c>
    </row>
    <row r="297" spans="1:173" x14ac:dyDescent="0.2">
      <c r="A297" s="1" t="s">
        <v>2661</v>
      </c>
      <c r="B297" s="1" t="s">
        <v>55</v>
      </c>
      <c r="C297" s="1" t="s">
        <v>238</v>
      </c>
      <c r="D297" s="1" t="s">
        <v>2</v>
      </c>
      <c r="E297" s="1">
        <v>13</v>
      </c>
      <c r="F297" s="1" t="s">
        <v>2657</v>
      </c>
      <c r="G297" s="1" t="s">
        <v>2658</v>
      </c>
      <c r="H297" s="1" t="s">
        <v>2662</v>
      </c>
      <c r="I297" s="1" t="s">
        <v>7</v>
      </c>
      <c r="J297" s="1" t="s">
        <v>2660</v>
      </c>
      <c r="L297" s="1" t="s">
        <v>2660</v>
      </c>
      <c r="M297" s="1" t="s">
        <v>2644</v>
      </c>
      <c r="N297" s="1" t="s">
        <v>2645</v>
      </c>
      <c r="O297" s="1">
        <v>3</v>
      </c>
      <c r="P297" s="1" t="s">
        <v>2646</v>
      </c>
      <c r="Q297" s="1">
        <v>2001</v>
      </c>
      <c r="R297" s="1" t="s">
        <v>2647</v>
      </c>
      <c r="S297" s="1" t="s">
        <v>27</v>
      </c>
      <c r="T297" s="6">
        <v>1</v>
      </c>
      <c r="U297" s="1">
        <v>73.98</v>
      </c>
      <c r="V297" s="1">
        <v>3.74</v>
      </c>
      <c r="Y297" s="1">
        <v>1.19299873</v>
      </c>
      <c r="AA297" s="1">
        <v>0.49460087600000002</v>
      </c>
      <c r="AD297" s="1">
        <v>0.89476470588235302</v>
      </c>
      <c r="AF297" s="1">
        <v>7.7636943999999999E-2</v>
      </c>
      <c r="AG297" s="1">
        <v>0.39353899199999998</v>
      </c>
      <c r="AW297" s="1">
        <v>4.0157039999999998E-2</v>
      </c>
      <c r="AZ297" s="1">
        <v>1.6732100000000001E-3</v>
      </c>
      <c r="BA297" s="1">
        <v>0.78306228</v>
      </c>
      <c r="BB297" s="1">
        <v>3.6810620000000001E-3</v>
      </c>
      <c r="BD297" s="1">
        <v>6.6928400000000002E-3</v>
      </c>
      <c r="BE297" s="1">
        <v>3.3464200000000001E-3</v>
      </c>
      <c r="BF297" s="1">
        <v>2.0078520000000001E-3</v>
      </c>
      <c r="BG297" s="1">
        <v>0.33129557999999998</v>
      </c>
      <c r="BJ297" s="1">
        <v>2.1082446000000001E-2</v>
      </c>
      <c r="BX297" s="1">
        <v>1.7066741999999999E-2</v>
      </c>
      <c r="BZ297" s="1">
        <v>0.14155356599999999</v>
      </c>
      <c r="CB297" s="1">
        <v>4.3503459999999997E-3</v>
      </c>
      <c r="CK297" s="1">
        <v>1.411519956</v>
      </c>
      <c r="CM297" s="1">
        <v>6.4920547999999995E-2</v>
      </c>
      <c r="CO297" s="1">
        <v>1.003926E-3</v>
      </c>
      <c r="CR297" s="1">
        <v>2.3424940000000001E-3</v>
      </c>
      <c r="CV297" s="1">
        <v>1.6062816000000001E-2</v>
      </c>
      <c r="DN297" s="1">
        <v>0.32761451800000002</v>
      </c>
      <c r="DS297" s="1">
        <v>5.6889139999999998E-3</v>
      </c>
      <c r="ED297" s="1">
        <v>7.6967659999999999E-3</v>
      </c>
      <c r="EH297" s="1">
        <v>1.7066741999999999E-2</v>
      </c>
      <c r="EJ297" s="1">
        <v>1.7736025999999998E-2</v>
      </c>
      <c r="ET297" s="1">
        <v>4.3503459999999997E-3</v>
      </c>
      <c r="EX297" s="1">
        <v>3.9487755999999999E-2</v>
      </c>
      <c r="FA297" s="1">
        <v>3.6810620000000001E-3</v>
      </c>
      <c r="FE297" s="1">
        <v>4.3503459999999997E-3</v>
      </c>
      <c r="FI297" s="1">
        <v>1.505889E-2</v>
      </c>
      <c r="FJ297" s="1">
        <v>5.6889139999999998E-3</v>
      </c>
      <c r="FM297" s="1">
        <v>4.6180595999999997E-2</v>
      </c>
    </row>
    <row r="298" spans="1:173" x14ac:dyDescent="0.2">
      <c r="A298" s="1" t="s">
        <v>2663</v>
      </c>
      <c r="B298" s="1" t="s">
        <v>55</v>
      </c>
      <c r="C298" s="1" t="s">
        <v>2664</v>
      </c>
      <c r="D298" s="1" t="s">
        <v>2</v>
      </c>
      <c r="E298" s="1">
        <v>13</v>
      </c>
      <c r="F298" s="1" t="s">
        <v>1448</v>
      </c>
      <c r="G298" s="1" t="s">
        <v>1449</v>
      </c>
      <c r="H298" s="1" t="s">
        <v>2665</v>
      </c>
      <c r="I298" s="1" t="s">
        <v>7</v>
      </c>
      <c r="J298" s="1" t="s">
        <v>1451</v>
      </c>
      <c r="K298" s="1" t="s">
        <v>1452</v>
      </c>
      <c r="L298" s="1" t="s">
        <v>2666</v>
      </c>
      <c r="M298" s="1" t="s">
        <v>2667</v>
      </c>
      <c r="N298" s="1" t="s">
        <v>2668</v>
      </c>
      <c r="O298" s="1">
        <v>3</v>
      </c>
      <c r="P298" s="1" t="s">
        <v>2669</v>
      </c>
      <c r="Q298" s="1">
        <v>2009</v>
      </c>
      <c r="R298" s="1" t="s">
        <v>2670</v>
      </c>
      <c r="S298" s="1" t="s">
        <v>27</v>
      </c>
      <c r="T298" s="6">
        <v>1</v>
      </c>
      <c r="U298" s="1">
        <v>71</v>
      </c>
      <c r="V298" s="1">
        <v>8.9</v>
      </c>
      <c r="Y298" s="1">
        <v>3.1921287135575902</v>
      </c>
      <c r="Z298" s="1">
        <v>3.60376718927896</v>
      </c>
      <c r="AA298" s="1">
        <v>1.22693654437415</v>
      </c>
      <c r="AB298" s="1">
        <v>0.13786755278929799</v>
      </c>
      <c r="AD298" s="1">
        <v>0.91693258426966295</v>
      </c>
      <c r="AF298" s="1">
        <v>0.14761854493492699</v>
      </c>
      <c r="AG298" s="1">
        <v>1.0793179994392299</v>
      </c>
      <c r="AW298" s="1">
        <v>9.7026098514612996E-2</v>
      </c>
      <c r="BA298" s="1">
        <v>2.4899275389720601</v>
      </c>
      <c r="BD298" s="1">
        <v>2.4476913502020799E-2</v>
      </c>
      <c r="BG298" s="1">
        <v>0.58069816256889495</v>
      </c>
      <c r="BJ298" s="1" t="s">
        <v>15</v>
      </c>
      <c r="BX298" s="1">
        <v>4.8802232414510302E-2</v>
      </c>
      <c r="BZ298" s="1">
        <v>0.39041785931608203</v>
      </c>
      <c r="CK298" s="1">
        <v>2.77170699458798</v>
      </c>
      <c r="CM298" s="1">
        <v>0.30251669262464598</v>
      </c>
      <c r="CV298" s="1">
        <v>9.0323410335745993E-2</v>
      </c>
      <c r="DN298" s="1">
        <v>0.91541787295366805</v>
      </c>
      <c r="ED298" s="1">
        <v>7.3535212224418001E-2</v>
      </c>
      <c r="EH298" s="1">
        <v>6.5364633088371496E-2</v>
      </c>
      <c r="EX298" s="1">
        <v>5.7429659728496597E-2</v>
      </c>
      <c r="EY298" s="1" t="s">
        <v>15</v>
      </c>
      <c r="FA298" s="1">
        <v>1.6469642812852601E-2</v>
      </c>
      <c r="FE298" s="1">
        <v>1.6403699432085202E-2</v>
      </c>
      <c r="FI298" s="1">
        <v>1.64656117197895E-2</v>
      </c>
      <c r="FJ298" s="1">
        <v>1.64656117197895E-2</v>
      </c>
      <c r="FM298" s="1">
        <v>4.93846006946803E-2</v>
      </c>
    </row>
    <row r="299" spans="1:173" x14ac:dyDescent="0.2">
      <c r="A299" s="1" t="s">
        <v>2671</v>
      </c>
      <c r="B299" s="1" t="s">
        <v>55</v>
      </c>
      <c r="C299" s="1" t="s">
        <v>2664</v>
      </c>
      <c r="D299" s="1" t="s">
        <v>2</v>
      </c>
      <c r="E299" s="1">
        <v>13</v>
      </c>
      <c r="F299" s="1" t="s">
        <v>1434</v>
      </c>
      <c r="G299" s="1" t="s">
        <v>1435</v>
      </c>
      <c r="H299" s="1" t="s">
        <v>2672</v>
      </c>
      <c r="I299" s="1" t="s">
        <v>7</v>
      </c>
      <c r="J299" s="1" t="s">
        <v>1438</v>
      </c>
      <c r="K299" s="1" t="s">
        <v>1435</v>
      </c>
      <c r="L299" s="1" t="s">
        <v>1438</v>
      </c>
      <c r="M299" s="1" t="s">
        <v>2667</v>
      </c>
      <c r="N299" s="1" t="s">
        <v>2673</v>
      </c>
      <c r="O299" s="1">
        <v>3</v>
      </c>
      <c r="P299" s="1" t="s">
        <v>2669</v>
      </c>
      <c r="Q299" s="1">
        <v>2009</v>
      </c>
      <c r="R299" s="1" t="s">
        <v>2670</v>
      </c>
      <c r="S299" s="1" t="s">
        <v>27</v>
      </c>
      <c r="T299" s="6">
        <v>1</v>
      </c>
      <c r="U299" s="1">
        <v>70.099999999999994</v>
      </c>
      <c r="V299" s="1">
        <v>12.2</v>
      </c>
      <c r="Y299" s="1">
        <v>4.0602294238757297</v>
      </c>
      <c r="Z299" s="1">
        <v>5.9075256407918904</v>
      </c>
      <c r="AA299" s="1">
        <v>1.1154357764645499</v>
      </c>
      <c r="AB299" s="1">
        <v>0.15640915886783199</v>
      </c>
      <c r="AD299" s="1">
        <v>0.92127868852459005</v>
      </c>
      <c r="AF299" s="1">
        <v>0.112766251261176</v>
      </c>
      <c r="AG299" s="1">
        <v>0.99140994070941801</v>
      </c>
      <c r="AW299" s="1">
        <v>0.31187915810950501</v>
      </c>
      <c r="BA299" s="1">
        <v>2.9032607691083698</v>
      </c>
      <c r="BD299" s="1">
        <v>3.3719230302819897E-2</v>
      </c>
      <c r="BG299" s="1">
        <v>0.78869873200080698</v>
      </c>
      <c r="BJ299" s="1">
        <v>2.26715343542216E-2</v>
      </c>
      <c r="BX299" s="1">
        <v>6.7229624925575507E-2</v>
      </c>
      <c r="BZ299" s="1">
        <v>1.0532641238340199</v>
      </c>
      <c r="CK299" s="1">
        <v>4.3476635049431804</v>
      </c>
      <c r="CM299" s="1">
        <v>0.41674494736501999</v>
      </c>
      <c r="CV299" s="1">
        <v>2.26234397240981E-2</v>
      </c>
      <c r="DN299" s="1">
        <v>0.81069008356455896</v>
      </c>
      <c r="DQ299" s="1">
        <v>1.12595844939522E-2</v>
      </c>
      <c r="ED299" s="1">
        <v>5.62786724668164E-2</v>
      </c>
      <c r="EH299" s="1">
        <v>7.8790141453542906E-2</v>
      </c>
      <c r="EX299" s="1">
        <v>9.0416811857677706E-2</v>
      </c>
      <c r="EY299" s="1" t="s">
        <v>15</v>
      </c>
      <c r="FA299" s="1" t="s">
        <v>15</v>
      </c>
      <c r="FE299" s="1">
        <v>1.12988126326273E-2</v>
      </c>
      <c r="FI299" s="1">
        <v>3.4024372820365197E-2</v>
      </c>
      <c r="FJ299" s="1" t="s">
        <v>15</v>
      </c>
      <c r="FM299" s="1">
        <v>2.2677297175005901E-2</v>
      </c>
    </row>
    <row r="300" spans="1:173" x14ac:dyDescent="0.2">
      <c r="A300" s="1" t="s">
        <v>2674</v>
      </c>
      <c r="B300" s="1" t="s">
        <v>55</v>
      </c>
      <c r="C300" s="1" t="s">
        <v>2675</v>
      </c>
      <c r="D300" s="1" t="s">
        <v>2</v>
      </c>
      <c r="E300" s="1">
        <v>13</v>
      </c>
      <c r="F300" s="1" t="s">
        <v>1695</v>
      </c>
      <c r="H300" s="1" t="s">
        <v>2676</v>
      </c>
      <c r="I300" s="1" t="s">
        <v>7</v>
      </c>
      <c r="J300" s="1" t="s">
        <v>1697</v>
      </c>
      <c r="K300" s="1" t="s">
        <v>1698</v>
      </c>
      <c r="L300" s="1" t="s">
        <v>1697</v>
      </c>
      <c r="M300" s="1" t="s">
        <v>481</v>
      </c>
      <c r="N300" s="1" t="s">
        <v>2677</v>
      </c>
      <c r="O300" s="1">
        <v>10</v>
      </c>
      <c r="P300" s="1" t="s">
        <v>1270</v>
      </c>
      <c r="Q300" s="1">
        <v>2008</v>
      </c>
      <c r="R300" s="1" t="s">
        <v>2678</v>
      </c>
      <c r="S300" s="1" t="s">
        <v>27</v>
      </c>
      <c r="T300" s="6">
        <v>1</v>
      </c>
      <c r="W300" s="1">
        <v>2.4</v>
      </c>
      <c r="Y300" s="1">
        <v>0.56723171999999999</v>
      </c>
      <c r="Z300" s="1">
        <v>0.64772580000000002</v>
      </c>
      <c r="AA300" s="1">
        <v>0.88124248000000005</v>
      </c>
      <c r="AD300" s="1">
        <v>0.87341666666666695</v>
      </c>
      <c r="AF300" s="1">
        <v>0.67958803999999995</v>
      </c>
      <c r="AG300" s="1">
        <v>0.13562414</v>
      </c>
      <c r="AW300" s="1">
        <v>0.11675834</v>
      </c>
      <c r="AY300" s="1">
        <v>1.069062E-2</v>
      </c>
      <c r="BA300" s="1">
        <v>0.37039854</v>
      </c>
      <c r="BG300" s="1">
        <v>6.5820680000000006E-2</v>
      </c>
      <c r="BI300" s="1">
        <v>3.56354E-3</v>
      </c>
      <c r="BS300" s="1">
        <v>5.4501200000000001E-3</v>
      </c>
      <c r="CA300" s="1">
        <v>0.14212236</v>
      </c>
      <c r="CF300" s="1">
        <v>1.949466E-2</v>
      </c>
      <c r="CG300" s="1">
        <v>5.3453100000000003E-2</v>
      </c>
      <c r="CI300" s="1">
        <v>0.26684626</v>
      </c>
      <c r="CV300" s="1">
        <v>8.9717359999999996E-2</v>
      </c>
      <c r="CX300" s="1">
        <v>5.6597399999999999E-3</v>
      </c>
      <c r="DA300" s="1">
        <v>5.7226260000000001E-2</v>
      </c>
      <c r="DB300" s="1">
        <v>7.96556E-3</v>
      </c>
      <c r="DN300" s="1">
        <v>0.10963125999999999</v>
      </c>
      <c r="DU300" s="1">
        <v>5.8693599999999997E-3</v>
      </c>
      <c r="EH300" s="1">
        <v>2.6621740000000001E-2</v>
      </c>
      <c r="EK300" s="1">
        <v>3.98278E-3</v>
      </c>
      <c r="EL300" s="1">
        <v>2.7250600000000001E-3</v>
      </c>
      <c r="EV300" s="1">
        <v>4.9470319999999998E-2</v>
      </c>
      <c r="EX300" s="1">
        <v>1.530226E-2</v>
      </c>
      <c r="EY300" s="1">
        <v>1.7817699999999999E-2</v>
      </c>
      <c r="FE300" s="1">
        <v>0.19683318</v>
      </c>
      <c r="FH300" s="1">
        <v>1.0481000000000001E-2</v>
      </c>
      <c r="FI300" s="1">
        <v>6.7078399999999996E-3</v>
      </c>
      <c r="FJ300" s="1">
        <v>3.87797E-2</v>
      </c>
      <c r="FM300" s="1">
        <v>0.39681065999999998</v>
      </c>
    </row>
    <row r="301" spans="1:173" x14ac:dyDescent="0.2">
      <c r="A301" s="1" t="s">
        <v>2679</v>
      </c>
      <c r="B301" s="1" t="s">
        <v>55</v>
      </c>
      <c r="C301" s="1" t="s">
        <v>2680</v>
      </c>
      <c r="D301" s="1" t="s">
        <v>2</v>
      </c>
      <c r="E301" s="1">
        <v>13</v>
      </c>
      <c r="F301" s="1" t="s">
        <v>2681</v>
      </c>
      <c r="H301" s="1" t="s">
        <v>2682</v>
      </c>
      <c r="I301" s="1" t="s">
        <v>7</v>
      </c>
      <c r="J301" s="1" t="s">
        <v>2683</v>
      </c>
      <c r="K301" s="1" t="s">
        <v>2684</v>
      </c>
      <c r="L301" s="1" t="s">
        <v>2685</v>
      </c>
      <c r="N301" s="1" t="s">
        <v>2686</v>
      </c>
      <c r="Q301" s="1">
        <v>2008</v>
      </c>
      <c r="R301" s="1" t="s">
        <v>2687</v>
      </c>
      <c r="S301" s="1" t="s">
        <v>27</v>
      </c>
      <c r="T301" s="6">
        <v>1</v>
      </c>
      <c r="U301" s="1">
        <v>76.25</v>
      </c>
      <c r="V301" s="1">
        <v>3.98</v>
      </c>
      <c r="Y301" s="1">
        <v>0.94564800000000004</v>
      </c>
      <c r="Z301" s="1">
        <v>1.0435559999999999</v>
      </c>
      <c r="AA301" s="1">
        <v>1.100868</v>
      </c>
      <c r="AE301" s="1">
        <v>3.0900720000000002</v>
      </c>
      <c r="AM301" s="1">
        <v>0.74824000000000002</v>
      </c>
      <c r="AN301" s="1">
        <v>0.34028999999999998</v>
      </c>
      <c r="AW301" s="1">
        <v>0.146066</v>
      </c>
      <c r="BA301" s="1">
        <v>0.6169</v>
      </c>
      <c r="BG301" s="1">
        <v>0.149648</v>
      </c>
      <c r="BZ301" s="1">
        <v>0.16755800000000001</v>
      </c>
      <c r="CK301" s="1">
        <v>0.70047999999999999</v>
      </c>
      <c r="CM301" s="1">
        <v>0.107062</v>
      </c>
      <c r="CZ301" s="1">
        <v>2.8656000000000001E-2</v>
      </c>
      <c r="DN301" s="1">
        <v>0.25074000000000002</v>
      </c>
      <c r="EH301" s="1">
        <v>3.2635999999999998E-2</v>
      </c>
      <c r="ET301" s="1">
        <v>3.7412000000000001E-2</v>
      </c>
      <c r="EX301" s="1">
        <v>3.9003999999999997E-2</v>
      </c>
      <c r="FE301" s="1">
        <v>0.22009400000000001</v>
      </c>
      <c r="FJ301" s="1">
        <v>0.12139</v>
      </c>
      <c r="FM301" s="1">
        <v>0.289744</v>
      </c>
      <c r="FQ301" s="1">
        <v>2.8656000000000001E-2</v>
      </c>
    </row>
    <row r="302" spans="1:173" x14ac:dyDescent="0.2">
      <c r="A302" s="1" t="s">
        <v>2689</v>
      </c>
      <c r="B302" s="1" t="s">
        <v>55</v>
      </c>
      <c r="C302" s="1" t="s">
        <v>2680</v>
      </c>
      <c r="D302" s="1" t="s">
        <v>2</v>
      </c>
      <c r="E302" s="1">
        <v>13</v>
      </c>
      <c r="F302" s="1" t="s">
        <v>2681</v>
      </c>
      <c r="H302" s="1" t="s">
        <v>2690</v>
      </c>
      <c r="I302" s="1" t="s">
        <v>7</v>
      </c>
      <c r="J302" s="1" t="s">
        <v>2683</v>
      </c>
      <c r="K302" s="1" t="s">
        <v>2684</v>
      </c>
      <c r="L302" s="1" t="s">
        <v>2685</v>
      </c>
      <c r="N302" s="1" t="s">
        <v>2691</v>
      </c>
      <c r="Q302" s="1">
        <v>2008</v>
      </c>
      <c r="R302" s="1" t="s">
        <v>2687</v>
      </c>
      <c r="S302" s="1" t="s">
        <v>27</v>
      </c>
      <c r="T302" s="6">
        <v>1</v>
      </c>
      <c r="U302" s="1">
        <v>77.14</v>
      </c>
      <c r="V302" s="1">
        <v>3.82</v>
      </c>
      <c r="Y302" s="1">
        <v>0.94468600000000003</v>
      </c>
      <c r="Z302" s="1">
        <v>1.1379779999999999</v>
      </c>
      <c r="AA302" s="1">
        <v>1.1295740000000001</v>
      </c>
      <c r="AE302" s="1">
        <v>3.2122380000000001</v>
      </c>
      <c r="AM302" s="1">
        <v>7.64</v>
      </c>
      <c r="AN302" s="1">
        <v>0.35449599999999998</v>
      </c>
      <c r="AW302" s="1">
        <v>0.15127199999999999</v>
      </c>
      <c r="BA302" s="1">
        <v>0.63259200000000004</v>
      </c>
      <c r="BG302" s="1">
        <v>0.134464</v>
      </c>
      <c r="BZ302" s="1">
        <v>0.21773999999999999</v>
      </c>
      <c r="CK302" s="1">
        <v>0.73955199999999999</v>
      </c>
      <c r="CM302" s="1">
        <v>9.8173999999999997E-2</v>
      </c>
      <c r="CZ302" s="1">
        <v>3.1323999999999998E-2</v>
      </c>
      <c r="DN302" s="1">
        <v>0.26319799999999999</v>
      </c>
      <c r="EH302" s="1">
        <v>3.7817999999999997E-2</v>
      </c>
      <c r="ET302" s="1">
        <v>4.2402000000000002E-2</v>
      </c>
      <c r="EX302" s="1">
        <v>3.8581999999999998E-2</v>
      </c>
      <c r="FE302" s="1">
        <v>0.23225599999999999</v>
      </c>
      <c r="FJ302" s="1">
        <v>0.12529599999999999</v>
      </c>
      <c r="FM302" s="1">
        <v>0.28611799999999998</v>
      </c>
      <c r="FQ302" s="1">
        <v>3.1323999999999998E-2</v>
      </c>
    </row>
    <row r="303" spans="1:173" x14ac:dyDescent="0.2">
      <c r="A303" s="1" t="s">
        <v>2693</v>
      </c>
      <c r="B303" s="1" t="s">
        <v>55</v>
      </c>
      <c r="C303" s="1" t="s">
        <v>2680</v>
      </c>
      <c r="D303" s="1" t="s">
        <v>2</v>
      </c>
      <c r="E303" s="1">
        <v>13</v>
      </c>
      <c r="F303" s="1" t="s">
        <v>2681</v>
      </c>
      <c r="H303" s="1" t="s">
        <v>2694</v>
      </c>
      <c r="I303" s="1" t="s">
        <v>7</v>
      </c>
      <c r="J303" s="1" t="s">
        <v>2683</v>
      </c>
      <c r="K303" s="1" t="s">
        <v>2684</v>
      </c>
      <c r="L303" s="1" t="s">
        <v>2685</v>
      </c>
      <c r="N303" s="1" t="s">
        <v>2695</v>
      </c>
      <c r="Q303" s="1">
        <v>2008</v>
      </c>
      <c r="R303" s="1" t="s">
        <v>2687</v>
      </c>
      <c r="S303" s="1" t="s">
        <v>27</v>
      </c>
      <c r="T303" s="6">
        <v>1</v>
      </c>
      <c r="U303" s="1">
        <v>77.63</v>
      </c>
      <c r="V303" s="1">
        <v>4.3600000000000003</v>
      </c>
      <c r="Y303" s="1">
        <v>1.1022080000000001</v>
      </c>
      <c r="Z303" s="1">
        <v>1.2761720000000001</v>
      </c>
      <c r="AA303" s="1">
        <v>1.273992</v>
      </c>
      <c r="AE303" s="1">
        <v>3.6523720000000002</v>
      </c>
      <c r="AM303" s="1">
        <v>0.877668</v>
      </c>
      <c r="AN303" s="1">
        <v>0.38324399999999997</v>
      </c>
      <c r="AW303" s="1">
        <v>0.17178399999999999</v>
      </c>
      <c r="BA303" s="1">
        <v>0.72594000000000003</v>
      </c>
      <c r="BG303" s="1">
        <v>0.17178399999999999</v>
      </c>
      <c r="BZ303" s="1">
        <v>0.234568</v>
      </c>
      <c r="CK303" s="1">
        <v>0.83450400000000002</v>
      </c>
      <c r="CM303" s="1">
        <v>0.129492</v>
      </c>
      <c r="CZ303" s="1">
        <v>3.4880000000000001E-2</v>
      </c>
      <c r="DN303" s="1">
        <v>0.29037600000000002</v>
      </c>
      <c r="EH303" s="1">
        <v>3.9239999999999997E-2</v>
      </c>
      <c r="ET303" s="1">
        <v>5.0576000000000003E-2</v>
      </c>
      <c r="EX303" s="1">
        <v>4.1419999999999998E-2</v>
      </c>
      <c r="FE303" s="1">
        <v>0.26072800000000002</v>
      </c>
      <c r="FJ303" s="1">
        <v>0.13777600000000001</v>
      </c>
      <c r="FM303" s="1">
        <v>0.33920800000000001</v>
      </c>
      <c r="FQ303" s="1">
        <v>3.4880000000000001E-2</v>
      </c>
    </row>
    <row r="304" spans="1:173" x14ac:dyDescent="0.2">
      <c r="A304" s="1" t="s">
        <v>2696</v>
      </c>
      <c r="B304" s="1" t="s">
        <v>55</v>
      </c>
      <c r="C304" s="1" t="s">
        <v>2697</v>
      </c>
      <c r="D304" s="1" t="s">
        <v>2</v>
      </c>
      <c r="E304" s="1">
        <v>21</v>
      </c>
      <c r="F304" s="1" t="s">
        <v>2698</v>
      </c>
      <c r="H304" s="1" t="s">
        <v>2699</v>
      </c>
      <c r="I304" s="1" t="s">
        <v>7</v>
      </c>
      <c r="J304" s="1" t="s">
        <v>2700</v>
      </c>
      <c r="K304" s="1" t="s">
        <v>2701</v>
      </c>
      <c r="L304" s="1" t="s">
        <v>2700</v>
      </c>
      <c r="M304" s="1" t="s">
        <v>2702</v>
      </c>
      <c r="N304" s="1" t="s">
        <v>2703</v>
      </c>
      <c r="O304" s="1">
        <v>1</v>
      </c>
      <c r="Q304" s="1">
        <v>1991</v>
      </c>
      <c r="R304" s="1" t="s">
        <v>2704</v>
      </c>
      <c r="S304" s="1" t="s">
        <v>27</v>
      </c>
      <c r="T304" s="6">
        <v>1</v>
      </c>
      <c r="U304" s="1">
        <v>81.900000000000006</v>
      </c>
      <c r="W304" s="1">
        <v>1.53</v>
      </c>
    </row>
    <row r="305" spans="1:170" x14ac:dyDescent="0.2">
      <c r="A305" s="1" t="s">
        <v>2705</v>
      </c>
      <c r="B305" s="1" t="s">
        <v>55</v>
      </c>
      <c r="C305" s="1" t="s">
        <v>2697</v>
      </c>
      <c r="D305" s="1" t="s">
        <v>2</v>
      </c>
      <c r="E305" s="1">
        <v>21</v>
      </c>
      <c r="F305" s="1" t="s">
        <v>2698</v>
      </c>
      <c r="H305" s="1" t="s">
        <v>2706</v>
      </c>
      <c r="I305" s="1" t="s">
        <v>7</v>
      </c>
      <c r="J305" s="1" t="s">
        <v>2700</v>
      </c>
      <c r="K305" s="1" t="s">
        <v>2701</v>
      </c>
      <c r="L305" s="1" t="s">
        <v>2700</v>
      </c>
      <c r="M305" s="1" t="s">
        <v>2702</v>
      </c>
      <c r="N305" s="1" t="s">
        <v>2707</v>
      </c>
      <c r="O305" s="1">
        <v>1</v>
      </c>
      <c r="Q305" s="1">
        <v>1991</v>
      </c>
      <c r="R305" s="1" t="s">
        <v>2704</v>
      </c>
      <c r="S305" s="1" t="s">
        <v>27</v>
      </c>
      <c r="T305" s="6">
        <v>1</v>
      </c>
      <c r="U305" s="1">
        <v>83.8</v>
      </c>
      <c r="W305" s="1">
        <v>0.27</v>
      </c>
    </row>
    <row r="306" spans="1:170" x14ac:dyDescent="0.2">
      <c r="A306" s="1" t="s">
        <v>2708</v>
      </c>
      <c r="B306" s="1" t="s">
        <v>55</v>
      </c>
      <c r="C306" s="1" t="s">
        <v>2709</v>
      </c>
      <c r="D306" s="1" t="s">
        <v>2</v>
      </c>
      <c r="E306" s="1">
        <v>22</v>
      </c>
      <c r="F306" s="1" t="s">
        <v>2710</v>
      </c>
      <c r="H306" s="1" t="s">
        <v>2711</v>
      </c>
      <c r="I306" s="1" t="s">
        <v>7</v>
      </c>
      <c r="J306" s="1" t="s">
        <v>2712</v>
      </c>
      <c r="K306" s="1" t="s">
        <v>2713</v>
      </c>
      <c r="L306" s="1" t="s">
        <v>2712</v>
      </c>
      <c r="N306" s="1" t="s">
        <v>2714</v>
      </c>
      <c r="O306" s="1">
        <v>3</v>
      </c>
      <c r="P306" s="1" t="s">
        <v>2715</v>
      </c>
      <c r="Q306" s="1">
        <v>2009</v>
      </c>
      <c r="R306" s="1" t="s">
        <v>2716</v>
      </c>
      <c r="S306" s="1" t="s">
        <v>27</v>
      </c>
      <c r="T306" s="6">
        <v>1</v>
      </c>
      <c r="U306" s="1">
        <v>67.400000000000006</v>
      </c>
      <c r="V306" s="1">
        <v>13.1</v>
      </c>
      <c r="AD306" s="1">
        <v>0.92208396946564897</v>
      </c>
      <c r="AW306" s="1">
        <v>0.47109269999999998</v>
      </c>
      <c r="BA306" s="1">
        <v>2.2346705</v>
      </c>
      <c r="BG306" s="1">
        <v>0.43485479999999999</v>
      </c>
      <c r="CA306" s="1">
        <v>1.0025819</v>
      </c>
      <c r="CQ306" s="1">
        <v>4.5418168000000003</v>
      </c>
      <c r="CZ306" s="1">
        <v>0.7126787</v>
      </c>
      <c r="DD306" s="1">
        <v>0.27782390000000001</v>
      </c>
      <c r="DR306" s="1">
        <v>0.1811895</v>
      </c>
      <c r="DV306" s="1">
        <v>1.2079299999999999E-2</v>
      </c>
      <c r="EI306" s="1">
        <v>4.8317199999999998E-2</v>
      </c>
      <c r="EZ306" s="1">
        <v>4.8317199999999998E-2</v>
      </c>
      <c r="FF306" s="1">
        <v>0.48317199999999999</v>
      </c>
      <c r="FK306" s="1">
        <v>0.241586</v>
      </c>
      <c r="FN306" s="1">
        <v>0.86970959999999997</v>
      </c>
    </row>
    <row r="307" spans="1:170" x14ac:dyDescent="0.2">
      <c r="A307" s="1" t="s">
        <v>2717</v>
      </c>
      <c r="B307" s="1" t="s">
        <v>55</v>
      </c>
      <c r="C307" s="1" t="s">
        <v>236</v>
      </c>
      <c r="E307" s="1">
        <v>22</v>
      </c>
      <c r="F307" s="1" t="s">
        <v>1754</v>
      </c>
      <c r="H307" s="1" t="s">
        <v>2718</v>
      </c>
      <c r="I307" s="1" t="s">
        <v>11</v>
      </c>
      <c r="J307" s="1" t="s">
        <v>1756</v>
      </c>
      <c r="K307" s="1" t="s">
        <v>1757</v>
      </c>
      <c r="L307" s="1" t="s">
        <v>1756</v>
      </c>
      <c r="O307" s="1">
        <v>3</v>
      </c>
      <c r="Q307" s="1">
        <v>2010</v>
      </c>
      <c r="R307" s="1" t="s">
        <v>2719</v>
      </c>
      <c r="S307" s="1" t="s">
        <v>27</v>
      </c>
      <c r="T307" s="6">
        <v>1</v>
      </c>
      <c r="U307" s="1" t="s">
        <v>2721</v>
      </c>
      <c r="W307" s="1" t="s">
        <v>2723</v>
      </c>
    </row>
    <row r="308" spans="1:170" x14ac:dyDescent="0.2">
      <c r="A308" s="1" t="s">
        <v>2724</v>
      </c>
      <c r="B308" s="1" t="s">
        <v>55</v>
      </c>
      <c r="C308" s="1" t="s">
        <v>236</v>
      </c>
      <c r="E308" s="1">
        <v>33</v>
      </c>
      <c r="F308" s="1" t="s">
        <v>1289</v>
      </c>
      <c r="H308" s="1" t="s">
        <v>2725</v>
      </c>
      <c r="I308" s="1" t="s">
        <v>11</v>
      </c>
      <c r="J308" s="1" t="s">
        <v>1291</v>
      </c>
      <c r="K308" s="1" t="s">
        <v>1292</v>
      </c>
      <c r="L308" s="1" t="s">
        <v>1291</v>
      </c>
      <c r="O308" s="1">
        <v>3</v>
      </c>
      <c r="Q308" s="1">
        <v>2010</v>
      </c>
      <c r="R308" s="1" t="s">
        <v>2719</v>
      </c>
      <c r="S308" s="1" t="s">
        <v>27</v>
      </c>
      <c r="T308" s="6">
        <v>1</v>
      </c>
      <c r="U308" s="1">
        <v>75.900000000000006</v>
      </c>
      <c r="W308" s="1">
        <v>0.51</v>
      </c>
    </row>
    <row r="309" spans="1:170" x14ac:dyDescent="0.2">
      <c r="A309" s="1" t="s">
        <v>2726</v>
      </c>
      <c r="B309" s="1" t="s">
        <v>55</v>
      </c>
      <c r="C309" s="1" t="s">
        <v>2727</v>
      </c>
      <c r="D309" s="1" t="s">
        <v>2</v>
      </c>
      <c r="E309" s="1">
        <v>23</v>
      </c>
      <c r="F309" s="1" t="s">
        <v>1274</v>
      </c>
      <c r="H309" s="1" t="s">
        <v>2728</v>
      </c>
      <c r="I309" s="1" t="s">
        <v>11</v>
      </c>
      <c r="J309" s="1" t="s">
        <v>1276</v>
      </c>
      <c r="K309" s="1" t="s">
        <v>1277</v>
      </c>
      <c r="L309" s="1" t="s">
        <v>1276</v>
      </c>
      <c r="O309" s="1">
        <v>3</v>
      </c>
      <c r="Q309" s="1">
        <v>2010</v>
      </c>
      <c r="R309" s="1" t="s">
        <v>2719</v>
      </c>
      <c r="S309" s="1" t="s">
        <v>27</v>
      </c>
      <c r="T309" s="6">
        <v>1</v>
      </c>
      <c r="U309" s="1">
        <v>61.1</v>
      </c>
      <c r="W309" s="1">
        <v>13</v>
      </c>
    </row>
    <row r="310" spans="1:170" x14ac:dyDescent="0.2">
      <c r="A310" s="1" t="s">
        <v>2729</v>
      </c>
      <c r="B310" s="1" t="s">
        <v>55</v>
      </c>
      <c r="C310" s="1" t="s">
        <v>2584</v>
      </c>
      <c r="D310" s="1" t="s">
        <v>2</v>
      </c>
      <c r="E310" s="1">
        <v>23</v>
      </c>
      <c r="F310" s="1" t="s">
        <v>1274</v>
      </c>
      <c r="H310" s="1" t="s">
        <v>2730</v>
      </c>
      <c r="I310" s="1" t="s">
        <v>11</v>
      </c>
      <c r="J310" s="1" t="s">
        <v>1276</v>
      </c>
      <c r="K310" s="1" t="s">
        <v>1277</v>
      </c>
      <c r="L310" s="1" t="s">
        <v>1276</v>
      </c>
      <c r="O310" s="1">
        <v>3</v>
      </c>
      <c r="Q310" s="1">
        <v>2010</v>
      </c>
      <c r="R310" s="1" t="s">
        <v>2719</v>
      </c>
      <c r="S310" s="1" t="s">
        <v>27</v>
      </c>
      <c r="T310" s="6">
        <v>1</v>
      </c>
      <c r="U310" s="1">
        <v>61.2</v>
      </c>
      <c r="W310" s="1">
        <v>12.9</v>
      </c>
    </row>
    <row r="311" spans="1:170" x14ac:dyDescent="0.2">
      <c r="A311" s="1" t="s">
        <v>2731</v>
      </c>
      <c r="B311" s="1" t="s">
        <v>55</v>
      </c>
      <c r="C311" s="1" t="s">
        <v>2732</v>
      </c>
      <c r="D311" s="1" t="s">
        <v>2</v>
      </c>
      <c r="E311" s="1">
        <v>23</v>
      </c>
      <c r="F311" s="1" t="s">
        <v>1274</v>
      </c>
      <c r="H311" s="1" t="s">
        <v>2730</v>
      </c>
      <c r="I311" s="1" t="s">
        <v>11</v>
      </c>
      <c r="J311" s="1" t="s">
        <v>1276</v>
      </c>
      <c r="K311" s="1" t="s">
        <v>1277</v>
      </c>
      <c r="L311" s="1" t="s">
        <v>1276</v>
      </c>
      <c r="O311" s="1">
        <v>3</v>
      </c>
      <c r="Q311" s="1">
        <v>2010</v>
      </c>
      <c r="R311" s="1" t="s">
        <v>2719</v>
      </c>
      <c r="S311" s="1" t="s">
        <v>27</v>
      </c>
      <c r="T311" s="6">
        <v>1</v>
      </c>
      <c r="U311" s="1">
        <v>63.1</v>
      </c>
      <c r="W311" s="1">
        <v>10.7</v>
      </c>
    </row>
    <row r="312" spans="1:170" x14ac:dyDescent="0.2">
      <c r="A312" s="1" t="s">
        <v>2733</v>
      </c>
      <c r="B312" s="1" t="s">
        <v>55</v>
      </c>
      <c r="C312" s="1" t="s">
        <v>2734</v>
      </c>
      <c r="D312" s="1" t="s">
        <v>2</v>
      </c>
      <c r="E312" s="1">
        <v>23</v>
      </c>
      <c r="F312" s="1" t="s">
        <v>1735</v>
      </c>
      <c r="H312" s="1" t="s">
        <v>2735</v>
      </c>
      <c r="I312" s="1" t="s">
        <v>11</v>
      </c>
      <c r="J312" s="1" t="s">
        <v>1738</v>
      </c>
      <c r="K312" s="1" t="s">
        <v>1739</v>
      </c>
      <c r="L312" s="1" t="s">
        <v>1738</v>
      </c>
      <c r="O312" s="1">
        <v>3</v>
      </c>
      <c r="Q312" s="1">
        <v>2010</v>
      </c>
      <c r="R312" s="1" t="s">
        <v>2719</v>
      </c>
      <c r="S312" s="1" t="s">
        <v>27</v>
      </c>
      <c r="T312" s="6">
        <v>1</v>
      </c>
      <c r="U312" s="1">
        <v>65.2</v>
      </c>
      <c r="W312" s="1">
        <v>12</v>
      </c>
    </row>
    <row r="313" spans="1:170" x14ac:dyDescent="0.2">
      <c r="A313" s="1" t="s">
        <v>2736</v>
      </c>
      <c r="B313" s="1" t="s">
        <v>55</v>
      </c>
      <c r="C313" s="1" t="s">
        <v>2737</v>
      </c>
      <c r="D313" s="1" t="s">
        <v>4</v>
      </c>
      <c r="E313" s="1">
        <v>33</v>
      </c>
      <c r="F313" s="1" t="s">
        <v>2738</v>
      </c>
      <c r="G313" s="1" t="s">
        <v>2739</v>
      </c>
      <c r="H313" s="1" t="s">
        <v>2740</v>
      </c>
      <c r="I313" s="1" t="s">
        <v>7</v>
      </c>
      <c r="L313" s="1" t="s">
        <v>2741</v>
      </c>
      <c r="M313" s="1" t="s">
        <v>2742</v>
      </c>
      <c r="N313" s="1" t="s">
        <v>2743</v>
      </c>
      <c r="O313" s="1">
        <v>1</v>
      </c>
      <c r="Q313" s="1">
        <v>1997</v>
      </c>
      <c r="R313" s="1" t="s">
        <v>2744</v>
      </c>
      <c r="S313" s="1" t="s">
        <v>27</v>
      </c>
      <c r="T313" s="6">
        <v>1</v>
      </c>
    </row>
    <row r="314" spans="1:170" x14ac:dyDescent="0.2">
      <c r="A314" s="1" t="s">
        <v>2745</v>
      </c>
      <c r="B314" s="1" t="s">
        <v>55</v>
      </c>
      <c r="C314" s="1" t="s">
        <v>2737</v>
      </c>
      <c r="D314" s="1" t="s">
        <v>4</v>
      </c>
      <c r="E314" s="1">
        <v>33</v>
      </c>
      <c r="F314" s="1" t="s">
        <v>2738</v>
      </c>
      <c r="G314" s="1" t="s">
        <v>2739</v>
      </c>
      <c r="H314" s="1" t="s">
        <v>2746</v>
      </c>
      <c r="I314" s="1" t="s">
        <v>7</v>
      </c>
      <c r="L314" s="1" t="s">
        <v>2741</v>
      </c>
      <c r="M314" s="1" t="s">
        <v>2742</v>
      </c>
      <c r="N314" s="1" t="s">
        <v>2747</v>
      </c>
      <c r="O314" s="1">
        <v>1</v>
      </c>
      <c r="Q314" s="1">
        <v>1997</v>
      </c>
      <c r="R314" s="1" t="s">
        <v>2744</v>
      </c>
      <c r="S314" s="1" t="s">
        <v>27</v>
      </c>
      <c r="T314" s="6">
        <v>1</v>
      </c>
    </row>
    <row r="315" spans="1:170" x14ac:dyDescent="0.2">
      <c r="A315" s="1" t="s">
        <v>2748</v>
      </c>
      <c r="B315" s="1" t="s">
        <v>55</v>
      </c>
      <c r="C315" s="1" t="s">
        <v>2737</v>
      </c>
      <c r="D315" s="1" t="s">
        <v>4</v>
      </c>
      <c r="E315" s="1">
        <v>33</v>
      </c>
      <c r="F315" s="1" t="s">
        <v>2738</v>
      </c>
      <c r="G315" s="1" t="s">
        <v>2739</v>
      </c>
      <c r="H315" s="1" t="s">
        <v>2749</v>
      </c>
      <c r="I315" s="1" t="s">
        <v>7</v>
      </c>
      <c r="L315" s="1" t="s">
        <v>2741</v>
      </c>
      <c r="M315" s="1" t="s">
        <v>2742</v>
      </c>
      <c r="N315" s="1" t="s">
        <v>2750</v>
      </c>
      <c r="O315" s="1">
        <v>1</v>
      </c>
      <c r="Q315" s="1">
        <v>1997</v>
      </c>
      <c r="R315" s="1" t="s">
        <v>2744</v>
      </c>
      <c r="S315" s="1" t="s">
        <v>27</v>
      </c>
      <c r="T315" s="6">
        <v>1</v>
      </c>
    </row>
    <row r="316" spans="1:170" x14ac:dyDescent="0.2">
      <c r="A316" s="1" t="s">
        <v>2751</v>
      </c>
      <c r="B316" s="1" t="s">
        <v>55</v>
      </c>
      <c r="C316" s="1" t="s">
        <v>2737</v>
      </c>
      <c r="D316" s="1" t="s">
        <v>4</v>
      </c>
      <c r="E316" s="1">
        <v>33</v>
      </c>
      <c r="F316" s="1" t="s">
        <v>2752</v>
      </c>
      <c r="G316" s="1" t="s">
        <v>2753</v>
      </c>
      <c r="H316" s="1" t="s">
        <v>2754</v>
      </c>
      <c r="I316" s="1" t="s">
        <v>7</v>
      </c>
      <c r="K316" s="1" t="s">
        <v>2755</v>
      </c>
      <c r="L316" s="1" t="s">
        <v>2756</v>
      </c>
      <c r="M316" s="1" t="s">
        <v>2742</v>
      </c>
      <c r="N316" s="1" t="s">
        <v>2757</v>
      </c>
      <c r="O316" s="1">
        <v>1</v>
      </c>
      <c r="Q316" s="1">
        <v>1997</v>
      </c>
      <c r="R316" s="1" t="s">
        <v>2744</v>
      </c>
      <c r="S316" s="1" t="s">
        <v>27</v>
      </c>
      <c r="T316" s="6">
        <v>1</v>
      </c>
    </row>
    <row r="317" spans="1:170" x14ac:dyDescent="0.2">
      <c r="A317" s="1" t="s">
        <v>2758</v>
      </c>
      <c r="B317" s="1" t="s">
        <v>55</v>
      </c>
      <c r="C317" s="1" t="s">
        <v>2737</v>
      </c>
      <c r="D317" s="1" t="s">
        <v>4</v>
      </c>
      <c r="E317" s="1">
        <v>33</v>
      </c>
      <c r="F317" s="1" t="s">
        <v>2752</v>
      </c>
      <c r="G317" s="1" t="s">
        <v>2753</v>
      </c>
      <c r="H317" s="1" t="s">
        <v>2759</v>
      </c>
      <c r="I317" s="1" t="s">
        <v>7</v>
      </c>
      <c r="K317" s="1" t="s">
        <v>2755</v>
      </c>
      <c r="L317" s="1" t="s">
        <v>2756</v>
      </c>
      <c r="M317" s="1" t="s">
        <v>2742</v>
      </c>
      <c r="N317" s="1" t="s">
        <v>2760</v>
      </c>
      <c r="O317" s="1">
        <v>1</v>
      </c>
      <c r="Q317" s="1">
        <v>1997</v>
      </c>
      <c r="R317" s="1" t="s">
        <v>2744</v>
      </c>
      <c r="S317" s="1" t="s">
        <v>27</v>
      </c>
      <c r="T317" s="6">
        <v>1</v>
      </c>
    </row>
    <row r="318" spans="1:170" x14ac:dyDescent="0.2">
      <c r="A318" s="1" t="s">
        <v>2761</v>
      </c>
      <c r="B318" s="1" t="s">
        <v>55</v>
      </c>
      <c r="C318" s="1" t="s">
        <v>2737</v>
      </c>
      <c r="D318" s="1" t="s">
        <v>4</v>
      </c>
      <c r="E318" s="1">
        <v>33</v>
      </c>
      <c r="F318" s="1" t="s">
        <v>2752</v>
      </c>
      <c r="G318" s="1" t="s">
        <v>2753</v>
      </c>
      <c r="H318" s="1" t="s">
        <v>2762</v>
      </c>
      <c r="I318" s="1" t="s">
        <v>7</v>
      </c>
      <c r="K318" s="1" t="s">
        <v>2755</v>
      </c>
      <c r="L318" s="1" t="s">
        <v>2756</v>
      </c>
      <c r="M318" s="1" t="s">
        <v>2742</v>
      </c>
      <c r="N318" s="1" t="s">
        <v>2763</v>
      </c>
      <c r="O318" s="1">
        <v>1</v>
      </c>
      <c r="Q318" s="1">
        <v>1997</v>
      </c>
      <c r="R318" s="1" t="s">
        <v>2744</v>
      </c>
      <c r="S318" s="1" t="s">
        <v>27</v>
      </c>
      <c r="T318" s="6">
        <v>1</v>
      </c>
    </row>
    <row r="319" spans="1:170" x14ac:dyDescent="0.2">
      <c r="A319" s="1" t="s">
        <v>2764</v>
      </c>
      <c r="B319" s="1" t="s">
        <v>55</v>
      </c>
      <c r="C319" s="1" t="s">
        <v>2737</v>
      </c>
      <c r="D319" s="1" t="s">
        <v>4</v>
      </c>
      <c r="E319" s="1">
        <v>33</v>
      </c>
      <c r="F319" s="1" t="s">
        <v>2738</v>
      </c>
      <c r="G319" s="1" t="s">
        <v>2739</v>
      </c>
      <c r="H319" s="1" t="s">
        <v>2765</v>
      </c>
      <c r="I319" s="1" t="s">
        <v>7</v>
      </c>
      <c r="L319" s="1" t="s">
        <v>2741</v>
      </c>
      <c r="M319" s="1" t="s">
        <v>2742</v>
      </c>
      <c r="N319" s="1" t="s">
        <v>2766</v>
      </c>
      <c r="O319" s="1">
        <v>1</v>
      </c>
      <c r="Q319" s="1">
        <v>1997</v>
      </c>
      <c r="R319" s="1" t="s">
        <v>2744</v>
      </c>
      <c r="S319" s="1" t="s">
        <v>27</v>
      </c>
      <c r="T319" s="6">
        <v>1</v>
      </c>
    </row>
    <row r="320" spans="1:170" x14ac:dyDescent="0.2">
      <c r="A320" s="1" t="s">
        <v>2767</v>
      </c>
      <c r="B320" s="1" t="s">
        <v>55</v>
      </c>
      <c r="C320" s="1" t="s">
        <v>2737</v>
      </c>
      <c r="D320" s="1" t="s">
        <v>4</v>
      </c>
      <c r="E320" s="1">
        <v>33</v>
      </c>
      <c r="F320" s="1" t="s">
        <v>2738</v>
      </c>
      <c r="G320" s="1" t="s">
        <v>2739</v>
      </c>
      <c r="H320" s="1" t="s">
        <v>2768</v>
      </c>
      <c r="I320" s="1" t="s">
        <v>7</v>
      </c>
      <c r="L320" s="1" t="s">
        <v>2741</v>
      </c>
      <c r="M320" s="1" t="s">
        <v>2742</v>
      </c>
      <c r="N320" s="1" t="s">
        <v>2766</v>
      </c>
      <c r="O320" s="1">
        <v>1</v>
      </c>
      <c r="Q320" s="1">
        <v>1997</v>
      </c>
      <c r="R320" s="1" t="s">
        <v>2744</v>
      </c>
      <c r="S320" s="1" t="s">
        <v>27</v>
      </c>
      <c r="T320" s="6">
        <v>1</v>
      </c>
    </row>
    <row r="321" spans="1:22" x14ac:dyDescent="0.2">
      <c r="A321" s="1" t="s">
        <v>2769</v>
      </c>
      <c r="B321" s="1" t="s">
        <v>55</v>
      </c>
      <c r="C321" s="1" t="s">
        <v>2737</v>
      </c>
      <c r="D321" s="1" t="s">
        <v>4</v>
      </c>
      <c r="E321" s="1">
        <v>33</v>
      </c>
      <c r="F321" s="1" t="s">
        <v>2738</v>
      </c>
      <c r="G321" s="1" t="s">
        <v>2739</v>
      </c>
      <c r="H321" s="1" t="s">
        <v>2770</v>
      </c>
      <c r="I321" s="1" t="s">
        <v>7</v>
      </c>
      <c r="L321" s="1" t="s">
        <v>2741</v>
      </c>
      <c r="M321" s="1" t="s">
        <v>2742</v>
      </c>
      <c r="N321" s="1" t="s">
        <v>2766</v>
      </c>
      <c r="O321" s="1">
        <v>1</v>
      </c>
      <c r="Q321" s="1">
        <v>1997</v>
      </c>
      <c r="R321" s="1" t="s">
        <v>2744</v>
      </c>
      <c r="S321" s="1" t="s">
        <v>27</v>
      </c>
      <c r="T321" s="6">
        <v>1</v>
      </c>
    </row>
    <row r="322" spans="1:22" x14ac:dyDescent="0.2">
      <c r="A322" s="1" t="s">
        <v>2771</v>
      </c>
      <c r="B322" s="1" t="s">
        <v>55</v>
      </c>
      <c r="C322" s="1" t="s">
        <v>2737</v>
      </c>
      <c r="D322" s="1" t="s">
        <v>4</v>
      </c>
      <c r="E322" s="1">
        <v>33</v>
      </c>
      <c r="F322" s="1" t="s">
        <v>2752</v>
      </c>
      <c r="G322" s="1" t="s">
        <v>2753</v>
      </c>
      <c r="H322" s="1" t="s">
        <v>2772</v>
      </c>
      <c r="I322" s="1" t="s">
        <v>7</v>
      </c>
      <c r="K322" s="1" t="s">
        <v>2755</v>
      </c>
      <c r="L322" s="1" t="s">
        <v>2773</v>
      </c>
      <c r="M322" s="1" t="s">
        <v>2742</v>
      </c>
      <c r="N322" s="1" t="s">
        <v>2766</v>
      </c>
      <c r="O322" s="1">
        <v>1</v>
      </c>
      <c r="Q322" s="1">
        <v>1997</v>
      </c>
      <c r="R322" s="1" t="s">
        <v>2744</v>
      </c>
      <c r="S322" s="1" t="s">
        <v>27</v>
      </c>
      <c r="T322" s="6">
        <v>1</v>
      </c>
    </row>
    <row r="323" spans="1:22" x14ac:dyDescent="0.2">
      <c r="A323" s="1" t="s">
        <v>2774</v>
      </c>
      <c r="B323" s="1" t="s">
        <v>55</v>
      </c>
      <c r="C323" s="1" t="s">
        <v>2737</v>
      </c>
      <c r="D323" s="1" t="s">
        <v>4</v>
      </c>
      <c r="E323" s="1">
        <v>33</v>
      </c>
      <c r="F323" s="1" t="s">
        <v>2752</v>
      </c>
      <c r="G323" s="1" t="s">
        <v>2753</v>
      </c>
      <c r="H323" s="1" t="s">
        <v>2775</v>
      </c>
      <c r="I323" s="1" t="s">
        <v>7</v>
      </c>
      <c r="K323" s="1" t="s">
        <v>2755</v>
      </c>
      <c r="L323" s="1" t="s">
        <v>2773</v>
      </c>
      <c r="M323" s="1" t="s">
        <v>2742</v>
      </c>
      <c r="N323" s="1" t="s">
        <v>2766</v>
      </c>
      <c r="O323" s="1">
        <v>1</v>
      </c>
      <c r="Q323" s="1">
        <v>1997</v>
      </c>
      <c r="R323" s="1" t="s">
        <v>2744</v>
      </c>
      <c r="S323" s="1" t="s">
        <v>27</v>
      </c>
      <c r="T323" s="6">
        <v>1</v>
      </c>
    </row>
    <row r="324" spans="1:22" x14ac:dyDescent="0.2">
      <c r="A324" s="1" t="s">
        <v>2776</v>
      </c>
      <c r="B324" s="1" t="s">
        <v>55</v>
      </c>
      <c r="C324" s="1" t="s">
        <v>2737</v>
      </c>
      <c r="D324" s="1" t="s">
        <v>4</v>
      </c>
      <c r="E324" s="1">
        <v>33</v>
      </c>
      <c r="F324" s="1" t="s">
        <v>2752</v>
      </c>
      <c r="G324" s="1" t="s">
        <v>2753</v>
      </c>
      <c r="H324" s="1" t="s">
        <v>2777</v>
      </c>
      <c r="I324" s="1" t="s">
        <v>7</v>
      </c>
      <c r="K324" s="1" t="s">
        <v>2755</v>
      </c>
      <c r="L324" s="1" t="s">
        <v>2773</v>
      </c>
      <c r="M324" s="1" t="s">
        <v>2742</v>
      </c>
      <c r="N324" s="1" t="s">
        <v>2766</v>
      </c>
      <c r="O324" s="1">
        <v>1</v>
      </c>
      <c r="Q324" s="1">
        <v>1997</v>
      </c>
      <c r="R324" s="1" t="s">
        <v>2744</v>
      </c>
      <c r="S324" s="1" t="s">
        <v>27</v>
      </c>
      <c r="T324" s="6">
        <v>1</v>
      </c>
    </row>
    <row r="325" spans="1:22" x14ac:dyDescent="0.2">
      <c r="A325" s="1" t="s">
        <v>2778</v>
      </c>
      <c r="B325" s="1" t="s">
        <v>55</v>
      </c>
      <c r="C325" s="1" t="s">
        <v>2737</v>
      </c>
      <c r="D325" s="1" t="s">
        <v>4</v>
      </c>
      <c r="E325" s="1">
        <v>33</v>
      </c>
      <c r="F325" s="1" t="s">
        <v>2779</v>
      </c>
      <c r="G325" s="1" t="s">
        <v>2780</v>
      </c>
      <c r="H325" s="1" t="s">
        <v>2781</v>
      </c>
      <c r="I325" s="1" t="s">
        <v>7</v>
      </c>
      <c r="K325" s="1" t="s">
        <v>2782</v>
      </c>
      <c r="L325" s="1" t="s">
        <v>2783</v>
      </c>
      <c r="M325" s="1" t="s">
        <v>2742</v>
      </c>
      <c r="N325" s="1" t="s">
        <v>2784</v>
      </c>
      <c r="O325" s="1">
        <v>1</v>
      </c>
      <c r="Q325" s="1">
        <v>1997</v>
      </c>
      <c r="R325" s="1" t="s">
        <v>2744</v>
      </c>
      <c r="S325" s="1" t="s">
        <v>27</v>
      </c>
      <c r="T325" s="6">
        <v>1</v>
      </c>
    </row>
    <row r="326" spans="1:22" x14ac:dyDescent="0.2">
      <c r="A326" s="1" t="s">
        <v>2785</v>
      </c>
      <c r="B326" s="1" t="s">
        <v>55</v>
      </c>
      <c r="C326" s="1" t="s">
        <v>2737</v>
      </c>
      <c r="D326" s="1" t="s">
        <v>4</v>
      </c>
      <c r="E326" s="1">
        <v>11</v>
      </c>
      <c r="F326" s="1" t="s">
        <v>1721</v>
      </c>
      <c r="G326" s="1" t="s">
        <v>2786</v>
      </c>
      <c r="H326" s="1" t="s">
        <v>2787</v>
      </c>
      <c r="I326" s="1" t="s">
        <v>7</v>
      </c>
      <c r="K326" s="1" t="s">
        <v>2788</v>
      </c>
      <c r="L326" s="1" t="s">
        <v>2789</v>
      </c>
      <c r="M326" s="1" t="s">
        <v>2742</v>
      </c>
      <c r="N326" s="1" t="s">
        <v>2790</v>
      </c>
      <c r="O326" s="1">
        <v>1</v>
      </c>
      <c r="Q326" s="1">
        <v>1997</v>
      </c>
      <c r="R326" s="1" t="s">
        <v>2744</v>
      </c>
      <c r="S326" s="1" t="s">
        <v>27</v>
      </c>
      <c r="T326" s="6">
        <v>1</v>
      </c>
    </row>
    <row r="327" spans="1:22" x14ac:dyDescent="0.2">
      <c r="A327" s="1" t="s">
        <v>2791</v>
      </c>
      <c r="B327" s="1" t="s">
        <v>55</v>
      </c>
      <c r="C327" s="1" t="s">
        <v>2737</v>
      </c>
      <c r="D327" s="1" t="s">
        <v>4</v>
      </c>
      <c r="E327" s="1">
        <v>11</v>
      </c>
      <c r="F327" s="1" t="s">
        <v>1721</v>
      </c>
      <c r="G327" s="1" t="s">
        <v>2792</v>
      </c>
      <c r="H327" s="1" t="s">
        <v>2793</v>
      </c>
      <c r="I327" s="1" t="s">
        <v>7</v>
      </c>
      <c r="K327" s="1" t="s">
        <v>2788</v>
      </c>
      <c r="L327" s="1" t="s">
        <v>2789</v>
      </c>
      <c r="M327" s="1" t="s">
        <v>2742</v>
      </c>
      <c r="N327" s="1" t="s">
        <v>2766</v>
      </c>
      <c r="O327" s="1">
        <v>1</v>
      </c>
      <c r="Q327" s="1">
        <v>1997</v>
      </c>
      <c r="R327" s="1" t="s">
        <v>2744</v>
      </c>
      <c r="S327" s="1" t="s">
        <v>27</v>
      </c>
      <c r="T327" s="6">
        <v>1</v>
      </c>
    </row>
    <row r="328" spans="1:22" x14ac:dyDescent="0.2">
      <c r="A328" s="1" t="s">
        <v>2794</v>
      </c>
      <c r="B328" s="1" t="s">
        <v>55</v>
      </c>
      <c r="C328" s="1" t="s">
        <v>2737</v>
      </c>
      <c r="D328" s="1" t="s">
        <v>4</v>
      </c>
      <c r="E328" s="1">
        <v>11</v>
      </c>
      <c r="F328" s="1" t="s">
        <v>1721</v>
      </c>
      <c r="G328" s="1" t="s">
        <v>2795</v>
      </c>
      <c r="H328" s="1" t="s">
        <v>2796</v>
      </c>
      <c r="I328" s="1" t="s">
        <v>7</v>
      </c>
      <c r="K328" s="1" t="s">
        <v>2788</v>
      </c>
      <c r="L328" s="1" t="s">
        <v>2789</v>
      </c>
      <c r="M328" s="1" t="s">
        <v>2742</v>
      </c>
      <c r="N328" s="1" t="s">
        <v>2766</v>
      </c>
      <c r="O328" s="1">
        <v>1</v>
      </c>
      <c r="Q328" s="1">
        <v>1997</v>
      </c>
      <c r="R328" s="1" t="s">
        <v>2744</v>
      </c>
      <c r="S328" s="1" t="s">
        <v>27</v>
      </c>
      <c r="T328" s="6">
        <v>1</v>
      </c>
    </row>
    <row r="329" spans="1:22" x14ac:dyDescent="0.2">
      <c r="A329" s="1" t="s">
        <v>2797</v>
      </c>
      <c r="B329" s="1" t="s">
        <v>1912</v>
      </c>
      <c r="C329" s="1" t="s">
        <v>2737</v>
      </c>
      <c r="D329" s="1" t="s">
        <v>4</v>
      </c>
      <c r="E329" s="1">
        <v>40</v>
      </c>
      <c r="F329" s="1" t="s">
        <v>1933</v>
      </c>
      <c r="H329" s="1" t="s">
        <v>2798</v>
      </c>
      <c r="I329" s="1" t="s">
        <v>7</v>
      </c>
      <c r="K329" s="1" t="s">
        <v>1936</v>
      </c>
      <c r="L329" s="1" t="s">
        <v>2799</v>
      </c>
      <c r="M329" s="1" t="s">
        <v>2742</v>
      </c>
      <c r="O329" s="1">
        <v>1</v>
      </c>
      <c r="Q329" s="1">
        <v>1997</v>
      </c>
      <c r="R329" s="1" t="s">
        <v>2744</v>
      </c>
      <c r="S329" s="1" t="s">
        <v>27</v>
      </c>
      <c r="T329" s="6">
        <v>1</v>
      </c>
    </row>
    <row r="330" spans="1:22" x14ac:dyDescent="0.2">
      <c r="A330" s="1" t="s">
        <v>2800</v>
      </c>
      <c r="B330" s="1" t="s">
        <v>55</v>
      </c>
      <c r="C330" s="1" t="s">
        <v>2737</v>
      </c>
      <c r="D330" s="1" t="s">
        <v>4</v>
      </c>
      <c r="E330" s="1">
        <v>11</v>
      </c>
      <c r="F330" s="1" t="s">
        <v>1721</v>
      </c>
      <c r="G330" s="1" t="s">
        <v>2786</v>
      </c>
      <c r="H330" s="1" t="s">
        <v>2801</v>
      </c>
      <c r="I330" s="1" t="s">
        <v>7</v>
      </c>
      <c r="K330" s="1" t="s">
        <v>2788</v>
      </c>
      <c r="L330" s="1" t="s">
        <v>2789</v>
      </c>
      <c r="M330" s="1" t="s">
        <v>2742</v>
      </c>
      <c r="N330" s="1" t="s">
        <v>2802</v>
      </c>
      <c r="O330" s="1">
        <v>6</v>
      </c>
      <c r="Q330" s="1">
        <v>1997</v>
      </c>
      <c r="R330" s="1" t="s">
        <v>2744</v>
      </c>
      <c r="S330" s="1" t="s">
        <v>27</v>
      </c>
      <c r="T330" s="6">
        <v>1</v>
      </c>
    </row>
    <row r="331" spans="1:22" x14ac:dyDescent="0.2">
      <c r="A331" s="1" t="s">
        <v>2803</v>
      </c>
      <c r="B331" s="1" t="s">
        <v>55</v>
      </c>
      <c r="C331" s="1" t="s">
        <v>2804</v>
      </c>
      <c r="D331" s="1" t="s">
        <v>4</v>
      </c>
      <c r="E331" s="1">
        <v>11</v>
      </c>
      <c r="F331" s="1" t="s">
        <v>2805</v>
      </c>
      <c r="H331" s="1" t="s">
        <v>2806</v>
      </c>
      <c r="I331" s="1" t="s">
        <v>7</v>
      </c>
      <c r="K331" s="1" t="s">
        <v>2807</v>
      </c>
      <c r="L331" s="1" t="s">
        <v>2808</v>
      </c>
      <c r="M331" s="1" t="s">
        <v>2809</v>
      </c>
      <c r="N331" s="1" t="s">
        <v>2810</v>
      </c>
      <c r="O331" s="1">
        <v>1</v>
      </c>
      <c r="Q331" s="1">
        <v>1997</v>
      </c>
      <c r="R331" s="1" t="s">
        <v>2744</v>
      </c>
      <c r="S331" s="1" t="s">
        <v>27</v>
      </c>
      <c r="T331" s="6">
        <v>1</v>
      </c>
    </row>
    <row r="332" spans="1:22" x14ac:dyDescent="0.2">
      <c r="A332" s="1" t="s">
        <v>2811</v>
      </c>
      <c r="B332" s="1" t="s">
        <v>55</v>
      </c>
      <c r="C332" s="1" t="s">
        <v>2812</v>
      </c>
      <c r="D332" s="1" t="s">
        <v>2</v>
      </c>
      <c r="E332" s="1">
        <v>23</v>
      </c>
      <c r="F332" s="1" t="s">
        <v>1472</v>
      </c>
      <c r="H332" s="1" t="s">
        <v>2813</v>
      </c>
      <c r="I332" s="1" t="s">
        <v>7</v>
      </c>
      <c r="J332" s="1" t="s">
        <v>1474</v>
      </c>
      <c r="K332" s="1" t="s">
        <v>1475</v>
      </c>
      <c r="L332" s="1" t="s">
        <v>1474</v>
      </c>
      <c r="O332" s="1">
        <v>1</v>
      </c>
      <c r="Q332" s="1">
        <v>1999</v>
      </c>
      <c r="R332" s="1" t="s">
        <v>2814</v>
      </c>
      <c r="S332" s="1" t="s">
        <v>27</v>
      </c>
      <c r="T332" s="6">
        <v>1</v>
      </c>
      <c r="V332" s="1">
        <v>7.8</v>
      </c>
    </row>
    <row r="333" spans="1:22" x14ac:dyDescent="0.2">
      <c r="A333" s="1" t="s">
        <v>2815</v>
      </c>
      <c r="B333" s="1" t="s">
        <v>55</v>
      </c>
      <c r="C333" s="1" t="s">
        <v>2812</v>
      </c>
      <c r="D333" s="1" t="s">
        <v>2</v>
      </c>
      <c r="E333" s="1">
        <v>23</v>
      </c>
      <c r="F333" s="1" t="s">
        <v>1472</v>
      </c>
      <c r="H333" s="1" t="s">
        <v>2816</v>
      </c>
      <c r="I333" s="1" t="s">
        <v>7</v>
      </c>
      <c r="J333" s="1" t="s">
        <v>1474</v>
      </c>
      <c r="K333" s="1" t="s">
        <v>1475</v>
      </c>
      <c r="L333" s="1" t="s">
        <v>1474</v>
      </c>
      <c r="O333" s="1">
        <v>1</v>
      </c>
      <c r="Q333" s="1">
        <v>1999</v>
      </c>
      <c r="R333" s="1" t="s">
        <v>2814</v>
      </c>
      <c r="S333" s="1" t="s">
        <v>27</v>
      </c>
      <c r="T333" s="6">
        <v>1</v>
      </c>
      <c r="V333" s="1">
        <v>13.8</v>
      </c>
    </row>
    <row r="334" spans="1:22" x14ac:dyDescent="0.2">
      <c r="A334" s="1" t="s">
        <v>2817</v>
      </c>
      <c r="B334" s="1" t="s">
        <v>55</v>
      </c>
      <c r="C334" s="1" t="s">
        <v>2812</v>
      </c>
      <c r="D334" s="1" t="s">
        <v>2</v>
      </c>
      <c r="E334" s="1">
        <v>23</v>
      </c>
      <c r="F334" s="1" t="s">
        <v>1472</v>
      </c>
      <c r="H334" s="1" t="s">
        <v>2816</v>
      </c>
      <c r="I334" s="1" t="s">
        <v>7</v>
      </c>
      <c r="J334" s="1" t="s">
        <v>1474</v>
      </c>
      <c r="K334" s="1" t="s">
        <v>1475</v>
      </c>
      <c r="L334" s="1" t="s">
        <v>1474</v>
      </c>
      <c r="O334" s="1">
        <v>1</v>
      </c>
      <c r="Q334" s="1">
        <v>1999</v>
      </c>
      <c r="R334" s="1" t="s">
        <v>2814</v>
      </c>
      <c r="S334" s="1" t="s">
        <v>27</v>
      </c>
      <c r="T334" s="6">
        <v>1</v>
      </c>
      <c r="V334" s="1">
        <v>11.2</v>
      </c>
    </row>
    <row r="335" spans="1:22" x14ac:dyDescent="0.2">
      <c r="A335" s="1" t="s">
        <v>2818</v>
      </c>
      <c r="B335" s="1" t="s">
        <v>55</v>
      </c>
      <c r="C335" s="1" t="s">
        <v>2812</v>
      </c>
      <c r="D335" s="1" t="s">
        <v>2</v>
      </c>
      <c r="E335" s="1">
        <v>23</v>
      </c>
      <c r="F335" s="1" t="s">
        <v>1472</v>
      </c>
      <c r="H335" s="1" t="s">
        <v>2816</v>
      </c>
      <c r="I335" s="1" t="s">
        <v>7</v>
      </c>
      <c r="J335" s="1" t="s">
        <v>1474</v>
      </c>
      <c r="K335" s="1" t="s">
        <v>1475</v>
      </c>
      <c r="L335" s="1" t="s">
        <v>1474</v>
      </c>
      <c r="O335" s="1">
        <v>1</v>
      </c>
      <c r="Q335" s="1">
        <v>1999</v>
      </c>
      <c r="R335" s="1" t="s">
        <v>2814</v>
      </c>
      <c r="S335" s="1" t="s">
        <v>27</v>
      </c>
      <c r="T335" s="6">
        <v>1</v>
      </c>
      <c r="V335" s="1">
        <v>9.6</v>
      </c>
    </row>
    <row r="336" spans="1:22" x14ac:dyDescent="0.2">
      <c r="A336" s="1" t="s">
        <v>2819</v>
      </c>
      <c r="B336" s="1" t="s">
        <v>55</v>
      </c>
      <c r="C336" s="1" t="s">
        <v>2812</v>
      </c>
      <c r="D336" s="1" t="s">
        <v>2</v>
      </c>
      <c r="E336" s="1">
        <v>23</v>
      </c>
      <c r="F336" s="1" t="s">
        <v>1472</v>
      </c>
      <c r="H336" s="1" t="s">
        <v>2820</v>
      </c>
      <c r="I336" s="1" t="s">
        <v>11</v>
      </c>
      <c r="J336" s="1" t="s">
        <v>1474</v>
      </c>
      <c r="K336" s="1" t="s">
        <v>1475</v>
      </c>
      <c r="L336" s="1" t="s">
        <v>1474</v>
      </c>
      <c r="O336" s="1">
        <v>1</v>
      </c>
      <c r="Q336" s="1">
        <v>1999</v>
      </c>
      <c r="R336" s="1" t="s">
        <v>2814</v>
      </c>
      <c r="S336" s="1" t="s">
        <v>27</v>
      </c>
      <c r="T336" s="6">
        <v>1</v>
      </c>
      <c r="V336" s="1">
        <v>11.5</v>
      </c>
    </row>
    <row r="337" spans="1:24" x14ac:dyDescent="0.2">
      <c r="A337" s="1" t="s">
        <v>2821</v>
      </c>
      <c r="B337" s="1" t="s">
        <v>55</v>
      </c>
      <c r="C337" s="1" t="s">
        <v>2812</v>
      </c>
      <c r="D337" s="1" t="s">
        <v>2</v>
      </c>
      <c r="E337" s="1">
        <v>23</v>
      </c>
      <c r="F337" s="1" t="s">
        <v>1472</v>
      </c>
      <c r="H337" s="1" t="s">
        <v>2820</v>
      </c>
      <c r="I337" s="1" t="s">
        <v>11</v>
      </c>
      <c r="J337" s="1" t="s">
        <v>1474</v>
      </c>
      <c r="K337" s="1" t="s">
        <v>1475</v>
      </c>
      <c r="L337" s="1" t="s">
        <v>1474</v>
      </c>
      <c r="O337" s="1">
        <v>1</v>
      </c>
      <c r="Q337" s="1">
        <v>1999</v>
      </c>
      <c r="R337" s="1" t="s">
        <v>2814</v>
      </c>
      <c r="S337" s="1" t="s">
        <v>27</v>
      </c>
      <c r="T337" s="6">
        <v>1</v>
      </c>
      <c r="V337" s="1">
        <v>12.9</v>
      </c>
    </row>
    <row r="338" spans="1:24" x14ac:dyDescent="0.2">
      <c r="A338" s="1" t="s">
        <v>2822</v>
      </c>
      <c r="B338" s="1" t="s">
        <v>55</v>
      </c>
      <c r="C338" s="1" t="s">
        <v>2812</v>
      </c>
      <c r="D338" s="1" t="s">
        <v>2</v>
      </c>
      <c r="E338" s="1">
        <v>23</v>
      </c>
      <c r="F338" s="1" t="s">
        <v>1472</v>
      </c>
      <c r="H338" s="1" t="s">
        <v>2820</v>
      </c>
      <c r="I338" s="1" t="s">
        <v>11</v>
      </c>
      <c r="J338" s="1" t="s">
        <v>1474</v>
      </c>
      <c r="K338" s="1" t="s">
        <v>1475</v>
      </c>
      <c r="L338" s="1" t="s">
        <v>1474</v>
      </c>
      <c r="O338" s="1">
        <v>1</v>
      </c>
      <c r="Q338" s="1">
        <v>1999</v>
      </c>
      <c r="R338" s="1" t="s">
        <v>2814</v>
      </c>
      <c r="S338" s="1" t="s">
        <v>27</v>
      </c>
      <c r="T338" s="6">
        <v>1</v>
      </c>
      <c r="V338" s="1">
        <v>9.3000000000000007</v>
      </c>
    </row>
    <row r="339" spans="1:24" x14ac:dyDescent="0.2">
      <c r="A339" s="1" t="s">
        <v>2823</v>
      </c>
      <c r="B339" s="1" t="s">
        <v>55</v>
      </c>
      <c r="C339" s="1" t="s">
        <v>2812</v>
      </c>
      <c r="D339" s="1" t="s">
        <v>2</v>
      </c>
      <c r="E339" s="1">
        <v>23</v>
      </c>
      <c r="F339" s="1" t="s">
        <v>1472</v>
      </c>
      <c r="H339" s="1" t="s">
        <v>2820</v>
      </c>
      <c r="I339" s="1" t="s">
        <v>11</v>
      </c>
      <c r="J339" s="1" t="s">
        <v>1474</v>
      </c>
      <c r="K339" s="1" t="s">
        <v>1475</v>
      </c>
      <c r="L339" s="1" t="s">
        <v>1474</v>
      </c>
      <c r="O339" s="1">
        <v>1</v>
      </c>
      <c r="Q339" s="1">
        <v>1999</v>
      </c>
      <c r="R339" s="1" t="s">
        <v>2814</v>
      </c>
      <c r="S339" s="1" t="s">
        <v>27</v>
      </c>
      <c r="T339" s="6">
        <v>1</v>
      </c>
      <c r="V339" s="1">
        <v>8</v>
      </c>
    </row>
    <row r="340" spans="1:24" x14ac:dyDescent="0.2">
      <c r="A340" s="1" t="s">
        <v>2824</v>
      </c>
      <c r="B340" s="1" t="s">
        <v>55</v>
      </c>
      <c r="C340" s="1" t="s">
        <v>2825</v>
      </c>
      <c r="D340" s="1" t="s">
        <v>2</v>
      </c>
      <c r="E340" s="1">
        <v>13</v>
      </c>
      <c r="F340" s="1" t="s">
        <v>1360</v>
      </c>
      <c r="H340" s="1" t="s">
        <v>2826</v>
      </c>
      <c r="I340" s="1" t="s">
        <v>7</v>
      </c>
      <c r="J340" s="1" t="s">
        <v>1362</v>
      </c>
      <c r="K340" s="1" t="s">
        <v>1363</v>
      </c>
      <c r="L340" s="1" t="s">
        <v>1362</v>
      </c>
      <c r="M340" s="1" t="s">
        <v>2827</v>
      </c>
      <c r="O340" s="1">
        <v>3</v>
      </c>
      <c r="P340" s="1" t="s">
        <v>2828</v>
      </c>
      <c r="Q340" s="1">
        <v>1992</v>
      </c>
      <c r="R340" s="1" t="s">
        <v>2829</v>
      </c>
      <c r="S340" s="1" t="s">
        <v>27</v>
      </c>
      <c r="T340" s="6">
        <v>1</v>
      </c>
      <c r="U340" s="1">
        <v>72.8</v>
      </c>
      <c r="X340" s="1">
        <v>11.3</v>
      </c>
    </row>
    <row r="341" spans="1:24" x14ac:dyDescent="0.2">
      <c r="A341" s="1" t="s">
        <v>2830</v>
      </c>
      <c r="B341" s="1" t="s">
        <v>55</v>
      </c>
      <c r="C341" s="1" t="s">
        <v>2825</v>
      </c>
      <c r="D341" s="1" t="s">
        <v>2</v>
      </c>
      <c r="E341" s="1">
        <v>13</v>
      </c>
      <c r="F341" s="1" t="s">
        <v>1360</v>
      </c>
      <c r="H341" s="1" t="s">
        <v>2831</v>
      </c>
      <c r="I341" s="1" t="s">
        <v>11</v>
      </c>
      <c r="J341" s="1" t="s">
        <v>1362</v>
      </c>
      <c r="K341" s="1" t="s">
        <v>1363</v>
      </c>
      <c r="L341" s="1" t="s">
        <v>1362</v>
      </c>
      <c r="M341" s="1" t="s">
        <v>2827</v>
      </c>
      <c r="O341" s="1">
        <v>3</v>
      </c>
      <c r="P341" s="1" t="s">
        <v>2828</v>
      </c>
      <c r="Q341" s="1">
        <v>1992</v>
      </c>
      <c r="R341" s="1" t="s">
        <v>2829</v>
      </c>
      <c r="S341" s="1" t="s">
        <v>27</v>
      </c>
      <c r="T341" s="6">
        <v>1</v>
      </c>
      <c r="U341" s="1">
        <v>72.099999999999994</v>
      </c>
      <c r="X341" s="1">
        <v>10</v>
      </c>
    </row>
    <row r="342" spans="1:24" x14ac:dyDescent="0.2">
      <c r="A342" s="1" t="s">
        <v>2832</v>
      </c>
      <c r="B342" s="1" t="s">
        <v>55</v>
      </c>
      <c r="C342" s="1" t="s">
        <v>2833</v>
      </c>
      <c r="D342" s="1" t="s">
        <v>2</v>
      </c>
      <c r="E342" s="1">
        <v>23</v>
      </c>
      <c r="F342" s="1" t="s">
        <v>2834</v>
      </c>
      <c r="H342" s="1" t="s">
        <v>2835</v>
      </c>
      <c r="I342" s="1" t="s">
        <v>7</v>
      </c>
      <c r="J342" s="1" t="s">
        <v>2836</v>
      </c>
      <c r="K342" s="1" t="s">
        <v>2837</v>
      </c>
      <c r="L342" s="1" t="s">
        <v>2836</v>
      </c>
      <c r="M342" s="1" t="s">
        <v>2838</v>
      </c>
      <c r="O342" s="1">
        <v>1</v>
      </c>
      <c r="P342" s="1" t="s">
        <v>2828</v>
      </c>
      <c r="Q342" s="1">
        <v>1992</v>
      </c>
      <c r="R342" s="1" t="s">
        <v>2829</v>
      </c>
      <c r="S342" s="1" t="s">
        <v>27</v>
      </c>
      <c r="T342" s="6">
        <v>1</v>
      </c>
      <c r="U342" s="1">
        <v>68.599999999999994</v>
      </c>
      <c r="X342" s="1">
        <v>7.8</v>
      </c>
    </row>
    <row r="343" spans="1:24" x14ac:dyDescent="0.2">
      <c r="A343" s="1" t="s">
        <v>2839</v>
      </c>
      <c r="B343" s="1" t="s">
        <v>55</v>
      </c>
      <c r="C343" s="1" t="s">
        <v>2833</v>
      </c>
      <c r="D343" s="1" t="s">
        <v>2</v>
      </c>
      <c r="E343" s="1">
        <v>23</v>
      </c>
      <c r="F343" s="1" t="s">
        <v>2834</v>
      </c>
      <c r="H343" s="1" t="s">
        <v>2835</v>
      </c>
      <c r="I343" s="1" t="s">
        <v>7</v>
      </c>
      <c r="J343" s="1" t="s">
        <v>2836</v>
      </c>
      <c r="K343" s="1" t="s">
        <v>2837</v>
      </c>
      <c r="L343" s="1" t="s">
        <v>2836</v>
      </c>
      <c r="M343" s="1" t="s">
        <v>2702</v>
      </c>
      <c r="O343" s="1">
        <v>1</v>
      </c>
      <c r="P343" s="1" t="s">
        <v>2828</v>
      </c>
      <c r="Q343" s="1">
        <v>1992</v>
      </c>
      <c r="R343" s="1" t="s">
        <v>2829</v>
      </c>
      <c r="S343" s="1" t="s">
        <v>27</v>
      </c>
      <c r="T343" s="6">
        <v>1</v>
      </c>
      <c r="U343" s="1">
        <v>70.099999999999994</v>
      </c>
      <c r="X343" s="1">
        <v>8.8000000000000007</v>
      </c>
    </row>
    <row r="344" spans="1:24" x14ac:dyDescent="0.2">
      <c r="A344" s="1" t="s">
        <v>2840</v>
      </c>
      <c r="B344" s="1" t="s">
        <v>55</v>
      </c>
      <c r="C344" s="1" t="s">
        <v>2833</v>
      </c>
      <c r="D344" s="1" t="s">
        <v>2</v>
      </c>
      <c r="E344" s="1">
        <v>23</v>
      </c>
      <c r="F344" s="1" t="s">
        <v>2834</v>
      </c>
      <c r="H344" s="1" t="s">
        <v>2841</v>
      </c>
      <c r="I344" s="1" t="s">
        <v>11</v>
      </c>
      <c r="J344" s="1" t="s">
        <v>2836</v>
      </c>
      <c r="K344" s="1" t="s">
        <v>2837</v>
      </c>
      <c r="L344" s="1" t="s">
        <v>2836</v>
      </c>
      <c r="M344" s="1" t="s">
        <v>2838</v>
      </c>
      <c r="O344" s="1">
        <v>1</v>
      </c>
      <c r="P344" s="1" t="s">
        <v>2828</v>
      </c>
      <c r="Q344" s="1">
        <v>1992</v>
      </c>
      <c r="R344" s="1" t="s">
        <v>2829</v>
      </c>
      <c r="S344" s="1" t="s">
        <v>27</v>
      </c>
      <c r="T344" s="6">
        <v>1</v>
      </c>
      <c r="U344" s="1">
        <v>65.5</v>
      </c>
      <c r="X344" s="1">
        <v>8.4</v>
      </c>
    </row>
    <row r="345" spans="1:24" x14ac:dyDescent="0.2">
      <c r="A345" s="1" t="s">
        <v>2842</v>
      </c>
      <c r="B345" s="1" t="s">
        <v>55</v>
      </c>
      <c r="C345" s="1" t="s">
        <v>2833</v>
      </c>
      <c r="D345" s="1" t="s">
        <v>2</v>
      </c>
      <c r="E345" s="1">
        <v>23</v>
      </c>
      <c r="F345" s="1" t="s">
        <v>2834</v>
      </c>
      <c r="H345" s="1" t="s">
        <v>2841</v>
      </c>
      <c r="I345" s="1" t="s">
        <v>11</v>
      </c>
      <c r="J345" s="1" t="s">
        <v>2836</v>
      </c>
      <c r="K345" s="1" t="s">
        <v>2837</v>
      </c>
      <c r="L345" s="1" t="s">
        <v>2836</v>
      </c>
      <c r="M345" s="1" t="s">
        <v>2702</v>
      </c>
      <c r="O345" s="1">
        <v>1</v>
      </c>
      <c r="P345" s="1" t="s">
        <v>2828</v>
      </c>
      <c r="Q345" s="1">
        <v>1992</v>
      </c>
      <c r="R345" s="1" t="s">
        <v>2829</v>
      </c>
      <c r="S345" s="1" t="s">
        <v>27</v>
      </c>
      <c r="T345" s="6">
        <v>1</v>
      </c>
      <c r="U345" s="1">
        <v>65.8</v>
      </c>
      <c r="X345" s="1">
        <v>9.6999999999999993</v>
      </c>
    </row>
    <row r="346" spans="1:24" x14ac:dyDescent="0.2">
      <c r="A346" s="1" t="s">
        <v>2843</v>
      </c>
      <c r="B346" s="1" t="s">
        <v>55</v>
      </c>
      <c r="C346" s="1" t="s">
        <v>2844</v>
      </c>
      <c r="D346" s="1" t="s">
        <v>2</v>
      </c>
      <c r="E346" s="1">
        <v>23</v>
      </c>
      <c r="F346" s="1" t="s">
        <v>1472</v>
      </c>
      <c r="H346" s="1" t="s">
        <v>2813</v>
      </c>
      <c r="I346" s="1" t="s">
        <v>7</v>
      </c>
      <c r="J346" s="1" t="s">
        <v>2845</v>
      </c>
      <c r="K346" s="1" t="s">
        <v>1475</v>
      </c>
      <c r="L346" s="1" t="s">
        <v>1474</v>
      </c>
      <c r="M346" s="1" t="s">
        <v>2846</v>
      </c>
      <c r="O346" s="1">
        <v>3</v>
      </c>
      <c r="P346" s="1" t="s">
        <v>2828</v>
      </c>
      <c r="Q346" s="1">
        <v>1992</v>
      </c>
      <c r="R346" s="1" t="s">
        <v>2829</v>
      </c>
      <c r="S346" s="1" t="s">
        <v>27</v>
      </c>
      <c r="T346" s="6">
        <v>1</v>
      </c>
      <c r="U346" s="1">
        <v>72.8</v>
      </c>
      <c r="X346" s="1">
        <v>5.4</v>
      </c>
    </row>
    <row r="347" spans="1:24" x14ac:dyDescent="0.2">
      <c r="A347" s="1" t="s">
        <v>2847</v>
      </c>
      <c r="B347" s="1" t="s">
        <v>55</v>
      </c>
      <c r="C347" s="1" t="s">
        <v>2844</v>
      </c>
      <c r="D347" s="1" t="s">
        <v>2</v>
      </c>
      <c r="E347" s="1">
        <v>23</v>
      </c>
      <c r="F347" s="1" t="s">
        <v>1472</v>
      </c>
      <c r="H347" s="1" t="s">
        <v>2848</v>
      </c>
      <c r="I347" s="1" t="s">
        <v>11</v>
      </c>
      <c r="J347" s="1" t="s">
        <v>2845</v>
      </c>
      <c r="K347" s="1" t="s">
        <v>1475</v>
      </c>
      <c r="L347" s="1" t="s">
        <v>1474</v>
      </c>
      <c r="M347" s="1" t="s">
        <v>2846</v>
      </c>
      <c r="O347" s="1">
        <v>3</v>
      </c>
      <c r="P347" s="1" t="s">
        <v>2828</v>
      </c>
      <c r="Q347" s="1">
        <v>1992</v>
      </c>
      <c r="R347" s="1" t="s">
        <v>2829</v>
      </c>
      <c r="S347" s="1" t="s">
        <v>27</v>
      </c>
      <c r="T347" s="6">
        <v>1</v>
      </c>
      <c r="U347" s="1">
        <v>67.5</v>
      </c>
      <c r="X347" s="1">
        <v>7.2</v>
      </c>
    </row>
    <row r="348" spans="1:24" x14ac:dyDescent="0.2">
      <c r="A348" s="1" t="s">
        <v>2849</v>
      </c>
      <c r="B348" s="1" t="s">
        <v>1912</v>
      </c>
      <c r="C348" s="1" t="s">
        <v>2850</v>
      </c>
      <c r="D348" s="1" t="s">
        <v>2</v>
      </c>
      <c r="E348" s="1">
        <v>41</v>
      </c>
      <c r="F348" s="1" t="s">
        <v>2851</v>
      </c>
      <c r="H348" s="1" t="s">
        <v>2852</v>
      </c>
      <c r="I348" s="1" t="s">
        <v>7</v>
      </c>
      <c r="J348" s="1" t="s">
        <v>2853</v>
      </c>
      <c r="K348" s="1" t="s">
        <v>2854</v>
      </c>
      <c r="L348" s="1" t="s">
        <v>2853</v>
      </c>
      <c r="M348" s="1" t="s">
        <v>2855</v>
      </c>
      <c r="O348" s="1">
        <v>2</v>
      </c>
      <c r="P348" s="1" t="s">
        <v>2856</v>
      </c>
      <c r="Q348" s="1">
        <v>1992</v>
      </c>
      <c r="R348" s="1" t="s">
        <v>2829</v>
      </c>
      <c r="S348" s="1" t="s">
        <v>27</v>
      </c>
      <c r="T348" s="6">
        <v>1</v>
      </c>
      <c r="U348" s="1">
        <v>84.4</v>
      </c>
      <c r="X348" s="1">
        <v>0.8</v>
      </c>
    </row>
    <row r="349" spans="1:24" x14ac:dyDescent="0.2">
      <c r="A349" s="1" t="s">
        <v>2857</v>
      </c>
      <c r="B349" s="1" t="s">
        <v>1912</v>
      </c>
      <c r="C349" s="1" t="s">
        <v>2850</v>
      </c>
      <c r="D349" s="1" t="s">
        <v>2</v>
      </c>
      <c r="E349" s="1">
        <v>41</v>
      </c>
      <c r="F349" s="1" t="s">
        <v>2851</v>
      </c>
      <c r="H349" s="1" t="s">
        <v>2858</v>
      </c>
      <c r="I349" s="1" t="s">
        <v>11</v>
      </c>
      <c r="J349" s="1" t="s">
        <v>2853</v>
      </c>
      <c r="K349" s="1" t="s">
        <v>2854</v>
      </c>
      <c r="L349" s="1" t="s">
        <v>2853</v>
      </c>
      <c r="M349" s="1" t="s">
        <v>2855</v>
      </c>
      <c r="O349" s="1">
        <v>2</v>
      </c>
      <c r="P349" s="1" t="s">
        <v>2856</v>
      </c>
      <c r="Q349" s="1">
        <v>1992</v>
      </c>
      <c r="R349" s="1" t="s">
        <v>2829</v>
      </c>
      <c r="S349" s="1" t="s">
        <v>27</v>
      </c>
      <c r="T349" s="6">
        <v>1</v>
      </c>
      <c r="U349" s="1">
        <v>81.599999999999994</v>
      </c>
      <c r="X349" s="1">
        <v>1.2</v>
      </c>
    </row>
    <row r="350" spans="1:24" x14ac:dyDescent="0.2">
      <c r="A350" s="1" t="s">
        <v>2859</v>
      </c>
      <c r="B350" s="1" t="s">
        <v>1912</v>
      </c>
      <c r="C350" s="1" t="s">
        <v>2850</v>
      </c>
      <c r="D350" s="1" t="s">
        <v>2</v>
      </c>
      <c r="E350" s="1">
        <v>41</v>
      </c>
      <c r="F350" s="1" t="s">
        <v>2860</v>
      </c>
      <c r="H350" s="1" t="s">
        <v>2861</v>
      </c>
      <c r="I350" s="1" t="s">
        <v>7</v>
      </c>
      <c r="J350" s="1" t="s">
        <v>2862</v>
      </c>
      <c r="K350" s="1" t="s">
        <v>2863</v>
      </c>
      <c r="L350" s="1" t="s">
        <v>2864</v>
      </c>
      <c r="M350" s="1" t="s">
        <v>2855</v>
      </c>
      <c r="O350" s="1">
        <v>2</v>
      </c>
      <c r="P350" s="1" t="s">
        <v>2856</v>
      </c>
      <c r="Q350" s="1">
        <v>1992</v>
      </c>
      <c r="R350" s="1" t="s">
        <v>2829</v>
      </c>
      <c r="S350" s="1" t="s">
        <v>27</v>
      </c>
      <c r="T350" s="6">
        <v>1</v>
      </c>
      <c r="U350" s="1">
        <v>83.8</v>
      </c>
      <c r="X350" s="1">
        <v>1.1000000000000001</v>
      </c>
    </row>
    <row r="351" spans="1:24" x14ac:dyDescent="0.2">
      <c r="A351" s="1" t="s">
        <v>2865</v>
      </c>
      <c r="B351" s="1" t="s">
        <v>1912</v>
      </c>
      <c r="C351" s="1" t="s">
        <v>2850</v>
      </c>
      <c r="D351" s="1" t="s">
        <v>2</v>
      </c>
      <c r="E351" s="1">
        <v>41</v>
      </c>
      <c r="F351" s="1" t="s">
        <v>2860</v>
      </c>
      <c r="H351" s="1" t="s">
        <v>2866</v>
      </c>
      <c r="I351" s="1" t="s">
        <v>11</v>
      </c>
      <c r="J351" s="1" t="s">
        <v>2862</v>
      </c>
      <c r="K351" s="1" t="s">
        <v>2863</v>
      </c>
      <c r="L351" s="1" t="s">
        <v>2864</v>
      </c>
      <c r="M351" s="1" t="s">
        <v>2855</v>
      </c>
      <c r="O351" s="1">
        <v>2</v>
      </c>
      <c r="P351" s="1" t="s">
        <v>2856</v>
      </c>
      <c r="Q351" s="1">
        <v>1992</v>
      </c>
      <c r="R351" s="1" t="s">
        <v>2829</v>
      </c>
      <c r="S351" s="1" t="s">
        <v>27</v>
      </c>
      <c r="T351" s="6">
        <v>1</v>
      </c>
      <c r="U351" s="1">
        <v>80</v>
      </c>
      <c r="X351" s="1">
        <v>1.4</v>
      </c>
    </row>
    <row r="352" spans="1:24" x14ac:dyDescent="0.2">
      <c r="A352" s="1" t="s">
        <v>2867</v>
      </c>
      <c r="B352" s="1" t="s">
        <v>57</v>
      </c>
      <c r="C352" s="1" t="s">
        <v>2868</v>
      </c>
      <c r="D352" s="1" t="s">
        <v>2</v>
      </c>
      <c r="E352" s="1">
        <v>53</v>
      </c>
      <c r="F352" s="1" t="s">
        <v>2869</v>
      </c>
      <c r="H352" s="1" t="s">
        <v>2870</v>
      </c>
      <c r="I352" s="1" t="s">
        <v>7</v>
      </c>
      <c r="J352" s="1" t="s">
        <v>2871</v>
      </c>
      <c r="K352" s="1" t="s">
        <v>2872</v>
      </c>
      <c r="L352" s="1" t="s">
        <v>2871</v>
      </c>
      <c r="M352" s="1" t="s">
        <v>2873</v>
      </c>
      <c r="O352" s="1">
        <v>2</v>
      </c>
      <c r="P352" s="1" t="s">
        <v>2874</v>
      </c>
      <c r="Q352" s="1">
        <v>1992</v>
      </c>
      <c r="R352" s="1" t="s">
        <v>2829</v>
      </c>
      <c r="S352" s="1" t="s">
        <v>27</v>
      </c>
      <c r="T352" s="6">
        <v>1</v>
      </c>
      <c r="U352" s="1" t="s">
        <v>2875</v>
      </c>
      <c r="X352" s="1" t="s">
        <v>2877</v>
      </c>
    </row>
    <row r="353" spans="1:169" x14ac:dyDescent="0.2">
      <c r="A353" s="1" t="s">
        <v>2879</v>
      </c>
      <c r="B353" s="1" t="s">
        <v>55</v>
      </c>
      <c r="C353" s="1" t="s">
        <v>2812</v>
      </c>
      <c r="D353" s="1" t="s">
        <v>2</v>
      </c>
      <c r="E353" s="1">
        <v>23</v>
      </c>
      <c r="F353" s="1" t="s">
        <v>1472</v>
      </c>
      <c r="H353" s="1" t="s">
        <v>2813</v>
      </c>
      <c r="I353" s="1" t="s">
        <v>7</v>
      </c>
      <c r="J353" s="1" t="s">
        <v>1474</v>
      </c>
      <c r="K353" s="1" t="s">
        <v>1475</v>
      </c>
      <c r="L353" s="1" t="s">
        <v>1474</v>
      </c>
      <c r="M353" s="1" t="s">
        <v>2880</v>
      </c>
      <c r="O353" s="1">
        <v>1</v>
      </c>
      <c r="Q353" s="1">
        <v>1995</v>
      </c>
      <c r="R353" s="1" t="s">
        <v>2881</v>
      </c>
      <c r="S353" s="1" t="s">
        <v>27</v>
      </c>
      <c r="T353" s="6">
        <v>1</v>
      </c>
      <c r="U353" s="1">
        <v>66.400000000000006</v>
      </c>
      <c r="X353" s="1">
        <v>13.4</v>
      </c>
    </row>
    <row r="354" spans="1:169" x14ac:dyDescent="0.2">
      <c r="A354" s="1" t="s">
        <v>2882</v>
      </c>
      <c r="B354" s="1" t="s">
        <v>55</v>
      </c>
      <c r="C354" s="1" t="s">
        <v>2812</v>
      </c>
      <c r="D354" s="1" t="s">
        <v>2</v>
      </c>
      <c r="E354" s="1">
        <v>23</v>
      </c>
      <c r="F354" s="1" t="s">
        <v>1472</v>
      </c>
      <c r="H354" s="1" t="s">
        <v>2813</v>
      </c>
      <c r="I354" s="1" t="s">
        <v>7</v>
      </c>
      <c r="J354" s="1" t="s">
        <v>1474</v>
      </c>
      <c r="K354" s="1" t="s">
        <v>1475</v>
      </c>
      <c r="L354" s="1" t="s">
        <v>1474</v>
      </c>
      <c r="M354" s="1" t="s">
        <v>2883</v>
      </c>
      <c r="O354" s="1">
        <v>1</v>
      </c>
      <c r="Q354" s="1">
        <v>1995</v>
      </c>
      <c r="R354" s="1" t="s">
        <v>2881</v>
      </c>
      <c r="S354" s="1" t="s">
        <v>27</v>
      </c>
      <c r="T354" s="6">
        <v>1</v>
      </c>
      <c r="U354" s="1">
        <v>69.5</v>
      </c>
      <c r="X354" s="1">
        <v>10</v>
      </c>
    </row>
    <row r="355" spans="1:169" x14ac:dyDescent="0.2">
      <c r="A355" s="1" t="s">
        <v>2884</v>
      </c>
      <c r="B355" s="1" t="s">
        <v>55</v>
      </c>
      <c r="C355" s="1" t="s">
        <v>2885</v>
      </c>
      <c r="D355" s="1" t="s">
        <v>2</v>
      </c>
      <c r="E355" s="1">
        <v>33</v>
      </c>
      <c r="F355" s="1" t="s">
        <v>2886</v>
      </c>
      <c r="H355" s="1" t="s">
        <v>2887</v>
      </c>
      <c r="I355" s="1" t="s">
        <v>7</v>
      </c>
      <c r="J355" s="1" t="s">
        <v>2888</v>
      </c>
      <c r="K355" s="1" t="s">
        <v>2889</v>
      </c>
      <c r="L355" s="1" t="s">
        <v>2888</v>
      </c>
      <c r="M355" s="1" t="s">
        <v>2890</v>
      </c>
      <c r="N355" s="1" t="s">
        <v>2891</v>
      </c>
      <c r="P355" s="1" t="s">
        <v>2892</v>
      </c>
      <c r="Q355" s="1">
        <v>2010</v>
      </c>
      <c r="R355" s="1" t="s">
        <v>2893</v>
      </c>
      <c r="S355" s="1" t="s">
        <v>27</v>
      </c>
      <c r="T355" s="6">
        <v>1</v>
      </c>
      <c r="V355" s="1">
        <v>6.49</v>
      </c>
      <c r="Y355" s="1">
        <v>1.67628</v>
      </c>
      <c r="Z355" s="1">
        <v>2.4527999999999999</v>
      </c>
      <c r="AA355" s="1">
        <v>1.0670999999999999</v>
      </c>
      <c r="AF355" s="1">
        <v>0.63307000000000002</v>
      </c>
      <c r="AG355" s="1">
        <v>0.42713000000000001</v>
      </c>
      <c r="AW355" s="1">
        <v>0.21612000000000001</v>
      </c>
      <c r="BA355" s="1">
        <v>1.0820700000000001</v>
      </c>
      <c r="BG355" s="1">
        <v>0.26405000000000001</v>
      </c>
      <c r="BS355" s="1">
        <v>2.5999999999999999E-3</v>
      </c>
      <c r="CA355" s="1">
        <v>0.28233999999999998</v>
      </c>
      <c r="CK355" s="1">
        <v>0.99717</v>
      </c>
      <c r="CM355" s="1">
        <v>0.15221000000000001</v>
      </c>
      <c r="CV355" s="1">
        <v>0.39513999999999999</v>
      </c>
      <c r="DA355" s="1">
        <v>0.49462</v>
      </c>
      <c r="DN355" s="1">
        <v>0.38940000000000002</v>
      </c>
      <c r="EX355" s="1">
        <v>2.1299999999999999E-2</v>
      </c>
      <c r="FE355" s="1">
        <v>0.23319999999999999</v>
      </c>
      <c r="FM355" s="1">
        <v>0.39939000000000002</v>
      </c>
    </row>
    <row r="356" spans="1:169" x14ac:dyDescent="0.2">
      <c r="A356" s="1" t="s">
        <v>2894</v>
      </c>
      <c r="B356" s="1" t="s">
        <v>55</v>
      </c>
      <c r="C356" s="1" t="s">
        <v>2895</v>
      </c>
      <c r="E356" s="1">
        <v>11</v>
      </c>
      <c r="F356" s="1" t="s">
        <v>2896</v>
      </c>
      <c r="H356" s="1" t="s">
        <v>2897</v>
      </c>
      <c r="I356" s="1" t="s">
        <v>7</v>
      </c>
      <c r="J356" s="1" t="s">
        <v>2898</v>
      </c>
      <c r="K356" s="1" t="s">
        <v>2899</v>
      </c>
      <c r="L356" s="1" t="s">
        <v>2898</v>
      </c>
      <c r="P356" s="1" t="s">
        <v>1270</v>
      </c>
      <c r="Q356" s="1">
        <v>2008</v>
      </c>
      <c r="R356" s="1" t="s">
        <v>2900</v>
      </c>
      <c r="S356" s="1" t="s">
        <v>27</v>
      </c>
      <c r="T356" s="6">
        <v>1</v>
      </c>
      <c r="U356" s="1">
        <v>77.599999999999994</v>
      </c>
      <c r="V356" s="1">
        <v>1.85</v>
      </c>
      <c r="Y356" s="1">
        <v>0.50657600000000003</v>
      </c>
      <c r="Z356" s="1">
        <v>0.44325399999999998</v>
      </c>
      <c r="AA356" s="1">
        <v>0.52715564999999998</v>
      </c>
      <c r="AD356" s="1">
        <v>0.85570270270270299</v>
      </c>
      <c r="AF356" s="1">
        <v>0.26120325</v>
      </c>
      <c r="AG356" s="1">
        <v>0.26753545000000001</v>
      </c>
      <c r="AU356" s="1">
        <v>0.15038974999999999</v>
      </c>
      <c r="AW356" s="1">
        <v>1.4089145000000001E-2</v>
      </c>
      <c r="AY356" s="1">
        <v>5.0657599999999999E-3</v>
      </c>
      <c r="BA356" s="1">
        <v>0.26120325</v>
      </c>
      <c r="BD356" s="1">
        <v>7.4403350000000002E-3</v>
      </c>
      <c r="BG356" s="1">
        <v>6.6013185000000002E-2</v>
      </c>
      <c r="BI356" s="1">
        <v>2.691185E-3</v>
      </c>
      <c r="BS356" s="1">
        <v>5.8572850000000003E-3</v>
      </c>
      <c r="CA356" s="1">
        <v>5.4298615000000001E-2</v>
      </c>
      <c r="CF356" s="1">
        <v>4.1159300000000003E-3</v>
      </c>
      <c r="CQ356" s="1">
        <v>0.35618624999999998</v>
      </c>
      <c r="CZ356" s="1">
        <v>1.2031180000000001E-2</v>
      </c>
      <c r="DD356" s="1">
        <v>1.8996600000000001E-3</v>
      </c>
      <c r="DF356" s="1">
        <v>8.2318600000000006E-3</v>
      </c>
      <c r="DN356" s="1">
        <v>0.23745749999999999</v>
      </c>
      <c r="DT356" s="1">
        <v>1.2189485E-2</v>
      </c>
      <c r="ED356" s="1">
        <v>3.1660999999999998E-3</v>
      </c>
      <c r="EH356" s="1">
        <v>0.13265958999999999</v>
      </c>
      <c r="EK356" s="1">
        <v>1.2347790000000001E-2</v>
      </c>
      <c r="EL356" s="1">
        <v>1.0606435000000001E-2</v>
      </c>
      <c r="EY356" s="1">
        <v>3.957625E-2</v>
      </c>
      <c r="FA356" s="1">
        <v>2.5328799999999999E-3</v>
      </c>
      <c r="FE356" s="1">
        <v>1.2189485E-2</v>
      </c>
      <c r="FJ356" s="1">
        <v>9.8149099999999996E-3</v>
      </c>
      <c r="FM356" s="1">
        <v>5.5406749999999998E-2</v>
      </c>
    </row>
    <row r="357" spans="1:169" x14ac:dyDescent="0.2">
      <c r="A357" s="1" t="s">
        <v>2901</v>
      </c>
      <c r="B357" s="1" t="s">
        <v>55</v>
      </c>
      <c r="C357" s="1" t="s">
        <v>2895</v>
      </c>
      <c r="E357" s="1">
        <v>11</v>
      </c>
      <c r="F357" s="1" t="s">
        <v>2896</v>
      </c>
      <c r="H357" s="1" t="s">
        <v>2902</v>
      </c>
      <c r="I357" s="1" t="s">
        <v>9</v>
      </c>
      <c r="J357" s="1" t="s">
        <v>2898</v>
      </c>
      <c r="K357" s="1" t="s">
        <v>2899</v>
      </c>
      <c r="L357" s="1" t="s">
        <v>2898</v>
      </c>
      <c r="P357" s="1" t="s">
        <v>1270</v>
      </c>
      <c r="Q357" s="1">
        <v>2008</v>
      </c>
      <c r="R357" s="1" t="s">
        <v>2900</v>
      </c>
      <c r="S357" s="1" t="s">
        <v>27</v>
      </c>
      <c r="T357" s="6">
        <v>1</v>
      </c>
      <c r="U357" s="1">
        <v>20.2</v>
      </c>
      <c r="V357" s="1">
        <v>5.13</v>
      </c>
      <c r="Y357" s="1">
        <v>1.42084674</v>
      </c>
      <c r="Z357" s="1">
        <v>0.99830735000000004</v>
      </c>
      <c r="AA357" s="1">
        <v>1.90839219</v>
      </c>
      <c r="AD357" s="1">
        <v>0.905124756335283</v>
      </c>
      <c r="AF357" s="1">
        <v>1.08652986</v>
      </c>
      <c r="AG357" s="1">
        <v>0.82650562000000005</v>
      </c>
      <c r="AU357" s="1">
        <v>0.17365904600000001</v>
      </c>
      <c r="AW357" s="1">
        <v>3.1110043E-2</v>
      </c>
      <c r="AY357" s="1">
        <v>1.6251515000000001E-2</v>
      </c>
      <c r="BA357" s="1">
        <v>0.93330128999999995</v>
      </c>
      <c r="BD357" s="1">
        <v>2.5073766000000001E-2</v>
      </c>
      <c r="BG357" s="1">
        <v>0.23402181599999999</v>
      </c>
      <c r="BI357" s="1">
        <v>6.5006059999999999E-3</v>
      </c>
      <c r="BS357" s="1">
        <v>5.5719480000000002E-3</v>
      </c>
      <c r="CA357" s="1">
        <v>0.114689263</v>
      </c>
      <c r="CF357" s="1">
        <v>1.4858527999999999E-2</v>
      </c>
      <c r="CQ357" s="1">
        <v>0.81257575000000004</v>
      </c>
      <c r="CZ357" s="1">
        <v>1.9966147E-2</v>
      </c>
      <c r="DD357" s="1">
        <v>0</v>
      </c>
      <c r="DF357" s="1">
        <v>2.9717055999999999E-2</v>
      </c>
      <c r="DN357" s="1">
        <v>0.72435324000000001</v>
      </c>
      <c r="DT357" s="1">
        <v>3.9467965000000001E-2</v>
      </c>
      <c r="ED357" s="1">
        <v>1.0215238E-2</v>
      </c>
      <c r="EH357" s="1">
        <v>0.50611861000000002</v>
      </c>
      <c r="EK357" s="1">
        <v>4.3646926000000003E-2</v>
      </c>
      <c r="EL357" s="1">
        <v>4.5504242E-2</v>
      </c>
      <c r="EY357" s="1">
        <v>0.15369289899999999</v>
      </c>
      <c r="FA357" s="1">
        <v>7.4292639999999997E-3</v>
      </c>
      <c r="FE357" s="1">
        <v>9.8902077000000005E-2</v>
      </c>
      <c r="FJ357" s="1">
        <v>4.2718267999999997E-2</v>
      </c>
      <c r="FM357" s="1">
        <v>0.23773644799999999</v>
      </c>
    </row>
    <row r="358" spans="1:169" x14ac:dyDescent="0.2">
      <c r="A358" s="1" t="s">
        <v>2903</v>
      </c>
      <c r="B358" s="1" t="s">
        <v>55</v>
      </c>
      <c r="C358" s="1" t="s">
        <v>2895</v>
      </c>
      <c r="E358" s="1">
        <v>11</v>
      </c>
      <c r="F358" s="1" t="s">
        <v>2896</v>
      </c>
      <c r="H358" s="1" t="s">
        <v>2904</v>
      </c>
      <c r="I358" s="1" t="s">
        <v>9</v>
      </c>
      <c r="J358" s="1" t="s">
        <v>2898</v>
      </c>
      <c r="K358" s="1" t="s">
        <v>2899</v>
      </c>
      <c r="L358" s="1" t="s">
        <v>2898</v>
      </c>
      <c r="P358" s="1" t="s">
        <v>1270</v>
      </c>
      <c r="Q358" s="1">
        <v>2008</v>
      </c>
      <c r="R358" s="1" t="s">
        <v>2900</v>
      </c>
      <c r="S358" s="1" t="s">
        <v>27</v>
      </c>
      <c r="T358" s="6">
        <v>1</v>
      </c>
      <c r="U358" s="1">
        <v>20.399999999999999</v>
      </c>
      <c r="V358" s="1">
        <v>5.56</v>
      </c>
      <c r="Y358" s="1">
        <v>1.49821056</v>
      </c>
      <c r="Z358" s="1">
        <v>1.14005248</v>
      </c>
      <c r="AA358" s="1">
        <v>2.0884147199999998</v>
      </c>
      <c r="AD358" s="1">
        <v>0.90728057553956798</v>
      </c>
      <c r="AF358" s="1">
        <v>1.14005248</v>
      </c>
      <c r="AG358" s="1">
        <v>0.94836224000000002</v>
      </c>
      <c r="AU358" s="1">
        <v>0.184627968</v>
      </c>
      <c r="AW358" s="1">
        <v>3.7329151999999997E-2</v>
      </c>
      <c r="AY358" s="1">
        <v>1.765568E-2</v>
      </c>
      <c r="BA358" s="1">
        <v>0.98871808000000005</v>
      </c>
      <c r="BD358" s="1">
        <v>2.7744640000000001E-2</v>
      </c>
      <c r="BG358" s="1">
        <v>0.233054976</v>
      </c>
      <c r="BI358" s="1">
        <v>8.0711680000000001E-3</v>
      </c>
      <c r="BS358" s="1">
        <v>5.0444799999999996E-3</v>
      </c>
      <c r="CA358" s="1">
        <v>0.130652032</v>
      </c>
      <c r="CF358" s="1">
        <v>1.6646784000000001E-2</v>
      </c>
      <c r="CQ358" s="1">
        <v>0.93827327999999999</v>
      </c>
      <c r="CZ358" s="1">
        <v>2.0177919999999998E-2</v>
      </c>
      <c r="DD358" s="1">
        <v>0</v>
      </c>
      <c r="DF358" s="1">
        <v>2.8753536E-2</v>
      </c>
      <c r="DN358" s="1">
        <v>0.84747264</v>
      </c>
      <c r="DT358" s="1">
        <v>4.0355839999999997E-2</v>
      </c>
      <c r="ED358" s="1">
        <v>1.1097856E-2</v>
      </c>
      <c r="EH358" s="1">
        <v>0.61542655999999996</v>
      </c>
      <c r="EK358" s="1">
        <v>4.3382527999999997E-2</v>
      </c>
      <c r="EL358" s="1">
        <v>5.0444799999999998E-2</v>
      </c>
      <c r="EY358" s="1">
        <v>0.136705408</v>
      </c>
      <c r="FA358" s="1">
        <v>8.5756159999999994E-3</v>
      </c>
      <c r="FE358" s="1">
        <v>8.9791744000000007E-2</v>
      </c>
      <c r="FJ358" s="1">
        <v>4.0860288000000002E-2</v>
      </c>
      <c r="FM358" s="1">
        <v>0.20682368000000001</v>
      </c>
    </row>
    <row r="359" spans="1:169" x14ac:dyDescent="0.2">
      <c r="A359" s="1" t="s">
        <v>2905</v>
      </c>
      <c r="B359" s="1" t="s">
        <v>55</v>
      </c>
      <c r="C359" s="1" t="s">
        <v>1030</v>
      </c>
      <c r="D359" s="1" t="s">
        <v>2</v>
      </c>
      <c r="E359" s="1">
        <v>13</v>
      </c>
      <c r="F359" s="1" t="s">
        <v>2906</v>
      </c>
      <c r="H359" s="1" t="s">
        <v>2907</v>
      </c>
      <c r="I359" s="1" t="s">
        <v>7</v>
      </c>
      <c r="J359" s="1" t="s">
        <v>2908</v>
      </c>
      <c r="K359" s="1" t="s">
        <v>2909</v>
      </c>
      <c r="L359" s="1" t="s">
        <v>2908</v>
      </c>
      <c r="N359" s="1" t="s">
        <v>2910</v>
      </c>
      <c r="P359" s="1" t="s">
        <v>2911</v>
      </c>
      <c r="Q359" s="1">
        <v>2006</v>
      </c>
      <c r="R359" s="1" t="s">
        <v>2912</v>
      </c>
      <c r="S359" s="1" t="s">
        <v>27</v>
      </c>
      <c r="T359" s="6">
        <v>1</v>
      </c>
      <c r="U359" s="1">
        <v>80.599999999999994</v>
      </c>
      <c r="W359" s="1">
        <v>0.53932000000000002</v>
      </c>
      <c r="Y359" s="1">
        <v>0.13248126139999999</v>
      </c>
      <c r="AD359" s="1">
        <v>0.67300000000000004</v>
      </c>
      <c r="AM359" s="1">
        <v>0.14990345467999999</v>
      </c>
      <c r="AN359" s="1">
        <v>2.9980690936000001E-2</v>
      </c>
      <c r="AW359" s="1">
        <v>3.0851800600000001E-3</v>
      </c>
      <c r="BA359" s="1">
        <v>7.5859133240000001E-2</v>
      </c>
      <c r="BG359" s="1">
        <v>1.8982931428000002E-2</v>
      </c>
      <c r="BM359" s="1">
        <v>3.2339946276000002E-2</v>
      </c>
      <c r="BZ359" s="1">
        <v>7.9488756840000001E-3</v>
      </c>
      <c r="CK359" s="1">
        <v>2.7258473235999999E-2</v>
      </c>
      <c r="DN359" s="1">
        <v>1.6079232547999998E-2</v>
      </c>
      <c r="ED359" s="1">
        <v>5.4444354000000004E-4</v>
      </c>
      <c r="EH359" s="1">
        <v>5.4444354000000004E-4</v>
      </c>
      <c r="EX359" s="1">
        <v>9.4733175959999995E-3</v>
      </c>
      <c r="FA359" s="1">
        <v>6.5333224800000005E-4</v>
      </c>
      <c r="FE359" s="1">
        <v>9.4370213600000004E-4</v>
      </c>
      <c r="FJ359" s="1">
        <v>5.1177692760000001E-3</v>
      </c>
      <c r="FM359" s="1">
        <v>0.14300716984</v>
      </c>
    </row>
    <row r="360" spans="1:169" x14ac:dyDescent="0.2">
      <c r="A360" s="1" t="s">
        <v>2913</v>
      </c>
      <c r="B360" s="1" t="s">
        <v>55</v>
      </c>
      <c r="C360" s="1" t="s">
        <v>2914</v>
      </c>
      <c r="D360" s="1" t="s">
        <v>2</v>
      </c>
      <c r="E360" s="1">
        <v>13</v>
      </c>
      <c r="F360" s="1" t="s">
        <v>2915</v>
      </c>
      <c r="H360" s="1" t="s">
        <v>2916</v>
      </c>
      <c r="I360" s="1" t="s">
        <v>7</v>
      </c>
      <c r="J360" s="1" t="s">
        <v>2917</v>
      </c>
      <c r="L360" s="1" t="s">
        <v>2918</v>
      </c>
      <c r="N360" s="1" t="s">
        <v>2919</v>
      </c>
      <c r="P360" s="1" t="s">
        <v>1270</v>
      </c>
      <c r="Q360" s="1">
        <v>1995</v>
      </c>
      <c r="R360" s="1" t="s">
        <v>2920</v>
      </c>
      <c r="S360" s="1" t="s">
        <v>27</v>
      </c>
      <c r="T360" s="6">
        <v>1</v>
      </c>
      <c r="U360" s="1">
        <v>72.69</v>
      </c>
      <c r="V360" s="1">
        <v>2.84</v>
      </c>
      <c r="Y360" s="1">
        <v>0.76053884800000005</v>
      </c>
      <c r="Z360" s="1">
        <v>1.010709504</v>
      </c>
      <c r="AA360" s="1">
        <v>0.73597299199999999</v>
      </c>
      <c r="AD360" s="1">
        <v>0.88264788732394395</v>
      </c>
      <c r="AF360" s="1">
        <v>0.341665936</v>
      </c>
      <c r="AG360" s="1">
        <v>0.39430705599999999</v>
      </c>
      <c r="AW360" s="1">
        <v>0.12583734399999999</v>
      </c>
      <c r="BA360" s="1">
        <v>0.56501468799999999</v>
      </c>
      <c r="BG360" s="1">
        <v>6.9686815999999999E-2</v>
      </c>
      <c r="BZ360" s="1">
        <v>0.24164780799999999</v>
      </c>
      <c r="CK360" s="1">
        <v>0.60562355199999995</v>
      </c>
      <c r="CM360" s="1">
        <v>0.104279552</v>
      </c>
      <c r="CO360" s="1">
        <v>1.6043008000000001E-2</v>
      </c>
      <c r="CV360" s="1">
        <v>4.3115583999999998E-2</v>
      </c>
      <c r="DN360" s="1">
        <v>0.36522910400000003</v>
      </c>
      <c r="DT360" s="1">
        <v>1.3786959999999999E-2</v>
      </c>
      <c r="EH360" s="1">
        <v>3.8603487999999998E-2</v>
      </c>
      <c r="ET360" s="1">
        <v>2.7824591999999999E-2</v>
      </c>
      <c r="EX360" s="1">
        <v>1.5290992E-2</v>
      </c>
      <c r="EY360" s="1">
        <v>1.3285616E-2</v>
      </c>
      <c r="FE360" s="1">
        <v>0.14213102399999999</v>
      </c>
      <c r="FJ360" s="1">
        <v>2.0304432000000001E-2</v>
      </c>
      <c r="FM360" s="1">
        <v>9.9516783999999997E-2</v>
      </c>
    </row>
    <row r="361" spans="1:169" x14ac:dyDescent="0.2">
      <c r="A361" s="1" t="s">
        <v>2921</v>
      </c>
      <c r="B361" s="1" t="s">
        <v>55</v>
      </c>
      <c r="C361" s="1" t="s">
        <v>2914</v>
      </c>
      <c r="D361" s="1" t="s">
        <v>2</v>
      </c>
      <c r="E361" s="1">
        <v>13</v>
      </c>
      <c r="F361" s="1" t="s">
        <v>2915</v>
      </c>
      <c r="H361" s="1" t="s">
        <v>2922</v>
      </c>
      <c r="I361" s="1" t="s">
        <v>7</v>
      </c>
      <c r="J361" s="1" t="s">
        <v>2918</v>
      </c>
      <c r="K361" s="1" t="s">
        <v>2923</v>
      </c>
      <c r="L361" s="1" t="s">
        <v>2918</v>
      </c>
      <c r="N361" s="1" t="s">
        <v>2924</v>
      </c>
      <c r="P361" s="1" t="s">
        <v>1270</v>
      </c>
      <c r="Q361" s="1">
        <v>1995</v>
      </c>
      <c r="R361" s="1" t="s">
        <v>2920</v>
      </c>
      <c r="S361" s="1" t="s">
        <v>27</v>
      </c>
      <c r="T361" s="6">
        <v>1</v>
      </c>
      <c r="U361" s="1">
        <v>78.22</v>
      </c>
      <c r="V361" s="1">
        <v>2.63</v>
      </c>
      <c r="Y361" s="1">
        <v>0.80068873500000004</v>
      </c>
      <c r="Z361" s="1">
        <v>0.84852208799999995</v>
      </c>
      <c r="AA361" s="1">
        <v>0.66804938899999999</v>
      </c>
      <c r="AD361" s="1">
        <v>0.87862737642585598</v>
      </c>
      <c r="AF361" s="1">
        <v>0.33483347099999999</v>
      </c>
      <c r="AG361" s="1">
        <v>0.333215918</v>
      </c>
      <c r="AW361" s="1">
        <v>0.120854317</v>
      </c>
      <c r="BA361" s="1">
        <v>0.590869003</v>
      </c>
      <c r="BG361" s="1">
        <v>8.8965415000000006E-2</v>
      </c>
      <c r="BZ361" s="1">
        <v>0.18070377800000001</v>
      </c>
      <c r="CK361" s="1">
        <v>0.55528283700000003</v>
      </c>
      <c r="CM361" s="1">
        <v>6.2160251E-2</v>
      </c>
      <c r="CO361" s="1">
        <v>3.9283429999999999E-3</v>
      </c>
      <c r="CV361" s="1">
        <v>4.6446879000000003E-2</v>
      </c>
      <c r="DN361" s="1">
        <v>0.29416356700000001</v>
      </c>
      <c r="DT361" s="1">
        <v>1.4326897999999999E-2</v>
      </c>
      <c r="EH361" s="1">
        <v>3.5355087E-2</v>
      </c>
      <c r="ET361" s="1">
        <v>2.1952505000000001E-2</v>
      </c>
      <c r="EX361" s="1">
        <v>2.4725453000000001E-2</v>
      </c>
      <c r="EY361" s="1">
        <v>1.2478266E-2</v>
      </c>
      <c r="FE361" s="1">
        <v>0.13125287199999999</v>
      </c>
      <c r="FJ361" s="1">
        <v>1.9872793999999999E-2</v>
      </c>
      <c r="FM361" s="1">
        <v>0.113921947</v>
      </c>
    </row>
    <row r="362" spans="1:169" x14ac:dyDescent="0.2">
      <c r="A362" s="1" t="s">
        <v>2925</v>
      </c>
      <c r="B362" s="1" t="s">
        <v>55</v>
      </c>
      <c r="C362" s="1" t="s">
        <v>2926</v>
      </c>
      <c r="D362" s="1" t="s">
        <v>2</v>
      </c>
      <c r="E362" s="1">
        <v>13</v>
      </c>
      <c r="F362" s="1" t="s">
        <v>2915</v>
      </c>
      <c r="H362" s="1" t="s">
        <v>2927</v>
      </c>
      <c r="I362" s="1" t="s">
        <v>7</v>
      </c>
      <c r="J362" s="1" t="s">
        <v>2918</v>
      </c>
      <c r="K362" s="1" t="s">
        <v>2923</v>
      </c>
      <c r="L362" s="1" t="s">
        <v>2918</v>
      </c>
      <c r="M362" s="1" t="s">
        <v>2928</v>
      </c>
      <c r="N362" s="1" t="s">
        <v>2929</v>
      </c>
      <c r="O362" s="1">
        <v>3</v>
      </c>
      <c r="P362" s="1" t="s">
        <v>2930</v>
      </c>
      <c r="Q362" s="1">
        <v>2002</v>
      </c>
      <c r="R362" s="1" t="s">
        <v>2931</v>
      </c>
      <c r="S362" s="1" t="s">
        <v>27</v>
      </c>
      <c r="T362" s="6">
        <v>1</v>
      </c>
      <c r="U362" s="1">
        <v>71.8</v>
      </c>
      <c r="V362" s="1">
        <v>7.8</v>
      </c>
    </row>
    <row r="363" spans="1:169" x14ac:dyDescent="0.2">
      <c r="A363" s="1" t="s">
        <v>2932</v>
      </c>
      <c r="B363" s="1" t="s">
        <v>55</v>
      </c>
      <c r="C363" s="1" t="s">
        <v>2926</v>
      </c>
      <c r="D363" s="1" t="s">
        <v>2</v>
      </c>
      <c r="E363" s="1">
        <v>13</v>
      </c>
      <c r="F363" s="1" t="s">
        <v>2915</v>
      </c>
      <c r="H363" s="1" t="s">
        <v>2933</v>
      </c>
      <c r="I363" s="1" t="s">
        <v>7</v>
      </c>
      <c r="J363" s="1" t="s">
        <v>2918</v>
      </c>
      <c r="K363" s="1" t="s">
        <v>2923</v>
      </c>
      <c r="L363" s="1" t="s">
        <v>2918</v>
      </c>
      <c r="M363" s="1" t="s">
        <v>2928</v>
      </c>
      <c r="N363" s="1" t="s">
        <v>2934</v>
      </c>
      <c r="O363" s="1">
        <v>3</v>
      </c>
      <c r="P363" s="1" t="s">
        <v>2930</v>
      </c>
      <c r="Q363" s="1">
        <v>2002</v>
      </c>
      <c r="R363" s="1" t="s">
        <v>2931</v>
      </c>
      <c r="S363" s="1" t="s">
        <v>27</v>
      </c>
      <c r="T363" s="6">
        <v>1</v>
      </c>
      <c r="U363" s="1">
        <v>73.7</v>
      </c>
      <c r="V363" s="1">
        <v>5.9</v>
      </c>
      <c r="Y363" s="1">
        <v>1.3511484</v>
      </c>
      <c r="Z363" s="1">
        <v>2.1500417000000001</v>
      </c>
      <c r="AA363" s="1">
        <v>1.8551481999999999</v>
      </c>
      <c r="AD363" s="1">
        <v>0.90876271186440705</v>
      </c>
      <c r="AW363" s="1">
        <v>0.22519140000000001</v>
      </c>
      <c r="BA363" s="1">
        <v>0.93293579999999998</v>
      </c>
      <c r="BG363" s="1">
        <v>0.1179574</v>
      </c>
      <c r="BZ363" s="1">
        <v>0.34314879999999998</v>
      </c>
      <c r="CK363" s="1">
        <v>1.1902973999999999</v>
      </c>
      <c r="CM363" s="1">
        <v>0.12868080000000001</v>
      </c>
      <c r="CV363" s="1">
        <v>0.28417009999999998</v>
      </c>
      <c r="DB363" s="1">
        <v>0.2037446</v>
      </c>
      <c r="DN363" s="1">
        <v>0.43429770000000001</v>
      </c>
      <c r="EH363" s="1">
        <v>9.6510600000000002E-2</v>
      </c>
      <c r="ET363" s="1">
        <v>9.1148900000000005E-2</v>
      </c>
      <c r="FE363" s="1">
        <v>0.34314879999999998</v>
      </c>
      <c r="FJ363" s="1">
        <v>5.3616999999999998E-2</v>
      </c>
      <c r="FM363" s="1">
        <v>0.72919120000000004</v>
      </c>
    </row>
    <row r="364" spans="1:169" x14ac:dyDescent="0.2">
      <c r="A364" s="1" t="s">
        <v>2935</v>
      </c>
      <c r="B364" s="1" t="s">
        <v>55</v>
      </c>
      <c r="C364" s="1" t="s">
        <v>2926</v>
      </c>
      <c r="D364" s="1" t="s">
        <v>2</v>
      </c>
      <c r="E364" s="1">
        <v>13</v>
      </c>
      <c r="F364" s="1" t="s">
        <v>2915</v>
      </c>
      <c r="H364" s="1" t="s">
        <v>2936</v>
      </c>
      <c r="I364" s="1" t="s">
        <v>7</v>
      </c>
      <c r="J364" s="1" t="s">
        <v>2918</v>
      </c>
      <c r="K364" s="1" t="s">
        <v>2923</v>
      </c>
      <c r="L364" s="1" t="s">
        <v>2918</v>
      </c>
      <c r="M364" s="1" t="s">
        <v>2928</v>
      </c>
      <c r="N364" s="1" t="s">
        <v>2929</v>
      </c>
      <c r="O364" s="1">
        <v>3</v>
      </c>
      <c r="P364" s="1" t="s">
        <v>2930</v>
      </c>
      <c r="Q364" s="1">
        <v>2002</v>
      </c>
      <c r="R364" s="1" t="s">
        <v>2931</v>
      </c>
      <c r="S364" s="1" t="s">
        <v>27</v>
      </c>
      <c r="T364" s="6">
        <v>1</v>
      </c>
      <c r="U364" s="1">
        <v>69.8</v>
      </c>
      <c r="V364" s="1">
        <v>10</v>
      </c>
    </row>
    <row r="365" spans="1:169" x14ac:dyDescent="0.2">
      <c r="A365" s="1" t="s">
        <v>2937</v>
      </c>
      <c r="B365" s="1" t="s">
        <v>55</v>
      </c>
      <c r="C365" s="1" t="s">
        <v>2926</v>
      </c>
      <c r="D365" s="1" t="s">
        <v>2</v>
      </c>
      <c r="E365" s="1">
        <v>13</v>
      </c>
      <c r="F365" s="1" t="s">
        <v>2915</v>
      </c>
      <c r="H365" s="1" t="s">
        <v>2938</v>
      </c>
      <c r="I365" s="1" t="s">
        <v>7</v>
      </c>
      <c r="J365" s="1" t="s">
        <v>2918</v>
      </c>
      <c r="K365" s="1" t="s">
        <v>2923</v>
      </c>
      <c r="L365" s="1" t="s">
        <v>2918</v>
      </c>
      <c r="M365" s="1" t="s">
        <v>2928</v>
      </c>
      <c r="N365" s="1" t="s">
        <v>2934</v>
      </c>
      <c r="O365" s="1">
        <v>3</v>
      </c>
      <c r="P365" s="1" t="s">
        <v>2930</v>
      </c>
      <c r="Q365" s="1">
        <v>2002</v>
      </c>
      <c r="R365" s="1" t="s">
        <v>2931</v>
      </c>
      <c r="S365" s="1" t="s">
        <v>27</v>
      </c>
      <c r="T365" s="6">
        <v>1</v>
      </c>
      <c r="U365" s="1">
        <v>71.2</v>
      </c>
      <c r="V365" s="1">
        <v>7.4</v>
      </c>
      <c r="Y365" s="1">
        <v>1.6159268</v>
      </c>
      <c r="Z365" s="1">
        <v>2.8599876000000002</v>
      </c>
      <c r="AA365" s="1">
        <v>2.2852855999999999</v>
      </c>
      <c r="AD365" s="1">
        <v>0.91367567567567598</v>
      </c>
      <c r="AW365" s="1">
        <v>0.28397040000000001</v>
      </c>
      <c r="BA365" s="1">
        <v>1.0750308</v>
      </c>
      <c r="BG365" s="1">
        <v>0.16226879999999999</v>
      </c>
      <c r="BZ365" s="1">
        <v>0.43947799999999998</v>
      </c>
      <c r="CK365" s="1">
        <v>1.7173448</v>
      </c>
      <c r="CM365" s="1">
        <v>0.1081792</v>
      </c>
      <c r="CV365" s="1">
        <v>0.35834359999999998</v>
      </c>
      <c r="DB365" s="1">
        <v>0.23664199999999999</v>
      </c>
      <c r="DN365" s="1">
        <v>0.62203039999999998</v>
      </c>
      <c r="EH365" s="1">
        <v>0.13522400000000001</v>
      </c>
      <c r="ET365" s="1">
        <v>0.1149404</v>
      </c>
      <c r="FE365" s="1">
        <v>0.43947799999999998</v>
      </c>
      <c r="FJ365" s="1">
        <v>6.7612000000000005E-2</v>
      </c>
      <c r="FM365" s="1">
        <v>0.75725439999999999</v>
      </c>
    </row>
    <row r="366" spans="1:169" x14ac:dyDescent="0.2">
      <c r="A366" s="1" t="s">
        <v>2939</v>
      </c>
      <c r="B366" s="1" t="s">
        <v>55</v>
      </c>
      <c r="C366" s="1" t="s">
        <v>2926</v>
      </c>
      <c r="D366" s="1" t="s">
        <v>2</v>
      </c>
      <c r="E366" s="1">
        <v>13</v>
      </c>
      <c r="F366" s="1" t="s">
        <v>2915</v>
      </c>
      <c r="H366" s="1" t="s">
        <v>2940</v>
      </c>
      <c r="I366" s="1" t="s">
        <v>7</v>
      </c>
      <c r="J366" s="1" t="s">
        <v>2918</v>
      </c>
      <c r="K366" s="1" t="s">
        <v>2923</v>
      </c>
      <c r="L366" s="1" t="s">
        <v>2918</v>
      </c>
      <c r="M366" s="1" t="s">
        <v>2928</v>
      </c>
      <c r="N366" s="1" t="s">
        <v>2929</v>
      </c>
      <c r="O366" s="1">
        <v>3</v>
      </c>
      <c r="P366" s="1" t="s">
        <v>2930</v>
      </c>
      <c r="Q366" s="1">
        <v>2002</v>
      </c>
      <c r="R366" s="1" t="s">
        <v>2931</v>
      </c>
      <c r="S366" s="1" t="s">
        <v>27</v>
      </c>
      <c r="T366" s="6">
        <v>1</v>
      </c>
      <c r="U366" s="1">
        <v>69.5</v>
      </c>
      <c r="V366" s="1">
        <v>10.6</v>
      </c>
    </row>
    <row r="367" spans="1:169" x14ac:dyDescent="0.2">
      <c r="A367" s="1" t="s">
        <v>2941</v>
      </c>
      <c r="B367" s="1" t="s">
        <v>55</v>
      </c>
      <c r="C367" s="1" t="s">
        <v>2926</v>
      </c>
      <c r="D367" s="1" t="s">
        <v>2</v>
      </c>
      <c r="E367" s="1">
        <v>13</v>
      </c>
      <c r="F367" s="1" t="s">
        <v>2915</v>
      </c>
      <c r="H367" s="1" t="s">
        <v>2942</v>
      </c>
      <c r="I367" s="1" t="s">
        <v>7</v>
      </c>
      <c r="J367" s="1" t="s">
        <v>2918</v>
      </c>
      <c r="K367" s="1" t="s">
        <v>2923</v>
      </c>
      <c r="L367" s="1" t="s">
        <v>2918</v>
      </c>
      <c r="M367" s="1" t="s">
        <v>2928</v>
      </c>
      <c r="N367" s="1" t="s">
        <v>2934</v>
      </c>
      <c r="O367" s="1">
        <v>3</v>
      </c>
      <c r="P367" s="1" t="s">
        <v>2930</v>
      </c>
      <c r="Q367" s="1">
        <v>2002</v>
      </c>
      <c r="R367" s="1" t="s">
        <v>2931</v>
      </c>
      <c r="S367" s="1" t="s">
        <v>27</v>
      </c>
      <c r="T367" s="6">
        <v>1</v>
      </c>
      <c r="U367" s="1">
        <v>71.599999999999994</v>
      </c>
      <c r="V367" s="1">
        <v>7.6</v>
      </c>
      <c r="Y367" s="1">
        <v>1.6188374000000001</v>
      </c>
      <c r="Z367" s="1">
        <v>2.9528150000000002</v>
      </c>
      <c r="AA367" s="1">
        <v>2.3691998000000001</v>
      </c>
      <c r="AD367" s="1">
        <v>0.91418421052631604</v>
      </c>
      <c r="AW367" s="1">
        <v>0.27096419999999999</v>
      </c>
      <c r="BA367" s="1">
        <v>1.1394392</v>
      </c>
      <c r="BG367" s="1">
        <v>0.1528516</v>
      </c>
      <c r="BZ367" s="1">
        <v>0.486346</v>
      </c>
      <c r="CK367" s="1">
        <v>1.7925324</v>
      </c>
      <c r="CM367" s="1">
        <v>0.1459038</v>
      </c>
      <c r="CV367" s="1">
        <v>0.34044219999999997</v>
      </c>
      <c r="DB367" s="1">
        <v>0.20843400000000001</v>
      </c>
      <c r="DN367" s="1">
        <v>0.60445859999999996</v>
      </c>
      <c r="EH367" s="1">
        <v>0.1181126</v>
      </c>
      <c r="ET367" s="1">
        <v>9.72692E-2</v>
      </c>
      <c r="FE367" s="1">
        <v>0.45160699999999998</v>
      </c>
      <c r="FJ367" s="1">
        <v>7.6425800000000002E-2</v>
      </c>
      <c r="FM367" s="1">
        <v>0.85457939999999999</v>
      </c>
    </row>
    <row r="368" spans="1:169" x14ac:dyDescent="0.2">
      <c r="A368" s="1" t="s">
        <v>2943</v>
      </c>
      <c r="B368" s="1" t="s">
        <v>55</v>
      </c>
      <c r="C368" s="1" t="s">
        <v>2056</v>
      </c>
      <c r="D368" s="1" t="s">
        <v>2</v>
      </c>
      <c r="E368" s="1">
        <v>33</v>
      </c>
      <c r="F368" s="1" t="s">
        <v>1289</v>
      </c>
      <c r="H368" s="1" t="s">
        <v>1290</v>
      </c>
      <c r="I368" s="1" t="s">
        <v>7</v>
      </c>
      <c r="J368" s="1" t="s">
        <v>1291</v>
      </c>
      <c r="K368" s="1" t="s">
        <v>1292</v>
      </c>
      <c r="L368" s="1" t="s">
        <v>1291</v>
      </c>
      <c r="N368" s="1" t="s">
        <v>2944</v>
      </c>
      <c r="P368" s="1" t="s">
        <v>1270</v>
      </c>
      <c r="Q368" s="1">
        <v>2007</v>
      </c>
      <c r="R368" s="1" t="s">
        <v>2945</v>
      </c>
      <c r="S368" s="1" t="s">
        <v>27</v>
      </c>
      <c r="T368" s="6">
        <v>1</v>
      </c>
      <c r="V368" s="1">
        <v>5.54</v>
      </c>
      <c r="Y368" s="1">
        <v>1.3152570939999999</v>
      </c>
      <c r="Z368" s="1">
        <v>1.694706504</v>
      </c>
      <c r="AA368" s="1">
        <v>1.6424379760000001</v>
      </c>
      <c r="AD368" s="1">
        <v>0.90718772563176897</v>
      </c>
      <c r="AS368" s="1">
        <v>1.5077459999999999E-3</v>
      </c>
      <c r="AU368" s="1">
        <v>2.010328E-3</v>
      </c>
      <c r="AV368" s="1">
        <v>1.005164E-3</v>
      </c>
      <c r="AW368" s="1">
        <v>0.176908864</v>
      </c>
      <c r="AY368" s="1">
        <v>2.5631681999999999E-2</v>
      </c>
      <c r="BA368" s="1">
        <v>0.86092296599999996</v>
      </c>
      <c r="BD368" s="1">
        <v>4.0206560000000002E-2</v>
      </c>
      <c r="BG368" s="1">
        <v>0.17339078999999999</v>
      </c>
      <c r="BI368" s="1">
        <v>1.6585206000000002E-2</v>
      </c>
      <c r="BJ368" s="1">
        <v>5.528402E-3</v>
      </c>
      <c r="BK368" s="1">
        <v>5.0258200000000003E-3</v>
      </c>
      <c r="BL368" s="1">
        <v>1.5077459999999999E-3</v>
      </c>
      <c r="BM368" s="1">
        <v>5.0258200000000003E-3</v>
      </c>
      <c r="BO368" s="1">
        <v>5.0258200000000003E-3</v>
      </c>
      <c r="BT368" s="1">
        <v>6.0309839999999997E-3</v>
      </c>
      <c r="BZ368" s="1">
        <v>0.237218704</v>
      </c>
      <c r="CB368" s="1">
        <v>2.3621354000000001E-2</v>
      </c>
      <c r="CI368" s="1">
        <v>1.195139996</v>
      </c>
      <c r="CJ368" s="1">
        <v>1.9098115999999998E-2</v>
      </c>
      <c r="CV368" s="1">
        <v>0.129163574</v>
      </c>
      <c r="DB368" s="1">
        <v>5.7294348000000002E-2</v>
      </c>
      <c r="DE368" s="1">
        <v>2.2113608E-2</v>
      </c>
      <c r="DK368" s="1">
        <v>0.63275073800000003</v>
      </c>
      <c r="DT368" s="1">
        <v>3.0154920000000002E-2</v>
      </c>
      <c r="ED368" s="1">
        <v>8.5438939999999998E-3</v>
      </c>
      <c r="EH368" s="1">
        <v>8.3428611999999999E-2</v>
      </c>
      <c r="EL368" s="1">
        <v>5.0258200000000003E-3</v>
      </c>
      <c r="EX368" s="1">
        <v>3.3170412000000003E-2</v>
      </c>
      <c r="FE368" s="1">
        <v>0.266871042</v>
      </c>
      <c r="FM368" s="1">
        <v>0.582492538</v>
      </c>
    </row>
    <row r="369" spans="1:175" x14ac:dyDescent="0.2">
      <c r="A369" s="1" t="s">
        <v>2946</v>
      </c>
      <c r="B369" s="1" t="s">
        <v>55</v>
      </c>
      <c r="C369" s="1" t="s">
        <v>2056</v>
      </c>
      <c r="D369" s="1" t="s">
        <v>2</v>
      </c>
      <c r="E369" s="1">
        <v>33</v>
      </c>
      <c r="F369" s="1" t="s">
        <v>1289</v>
      </c>
      <c r="H369" s="1" t="s">
        <v>2947</v>
      </c>
      <c r="I369" s="1" t="s">
        <v>11</v>
      </c>
      <c r="J369" s="1" t="s">
        <v>1291</v>
      </c>
      <c r="K369" s="1" t="s">
        <v>1292</v>
      </c>
      <c r="L369" s="1" t="s">
        <v>1291</v>
      </c>
      <c r="N369" s="1" t="s">
        <v>2944</v>
      </c>
      <c r="P369" s="1" t="s">
        <v>1270</v>
      </c>
      <c r="Q369" s="1">
        <v>2007</v>
      </c>
      <c r="R369" s="1" t="s">
        <v>2945</v>
      </c>
      <c r="S369" s="1" t="s">
        <v>27</v>
      </c>
      <c r="T369" s="6">
        <v>1</v>
      </c>
      <c r="V369" s="1">
        <v>12.98</v>
      </c>
      <c r="Y369" s="1">
        <v>1.9052005279999999</v>
      </c>
      <c r="Z369" s="1">
        <v>4.0294033779999996</v>
      </c>
      <c r="AA369" s="1">
        <v>5.7909958259999996</v>
      </c>
      <c r="AD369" s="1">
        <v>0.92198305084745802</v>
      </c>
      <c r="AW369" s="1">
        <v>9.2148517999999999E-2</v>
      </c>
      <c r="AY369" s="1">
        <v>1.4360807999999999E-2</v>
      </c>
      <c r="BA369" s="1">
        <v>1.2805053799999999</v>
      </c>
      <c r="BD369" s="1">
        <v>2.393468E-2</v>
      </c>
      <c r="BG369" s="1">
        <v>0.39013528400000003</v>
      </c>
      <c r="BI369" s="1">
        <v>3.4705286000000002E-2</v>
      </c>
      <c r="BJ369" s="1">
        <v>4.7869360000000003E-3</v>
      </c>
      <c r="BK369" s="1">
        <v>4.1885690000000003E-2</v>
      </c>
      <c r="BL369" s="1">
        <v>5.98367E-3</v>
      </c>
      <c r="BM369" s="1">
        <v>1.6754275999999999E-2</v>
      </c>
      <c r="BO369" s="1">
        <v>3.5902019999999998E-3</v>
      </c>
      <c r="BT369" s="1">
        <v>2.3934680000000002E-3</v>
      </c>
      <c r="BZ369" s="1">
        <v>0.124460336</v>
      </c>
      <c r="CB369" s="1">
        <v>1.6754275999999999E-2</v>
      </c>
      <c r="CI369" s="1">
        <v>3.7541545580000002</v>
      </c>
      <c r="CJ369" s="1">
        <v>9.5738720000000006E-3</v>
      </c>
      <c r="CV369" s="1">
        <v>0.110099528</v>
      </c>
      <c r="DB369" s="1">
        <v>1.196734E-2</v>
      </c>
      <c r="DE369" s="1">
        <v>1.3164074E-2</v>
      </c>
      <c r="DK369" s="1">
        <v>4.6780332060000003</v>
      </c>
      <c r="DT369" s="1">
        <v>1.5557542000000001E-2</v>
      </c>
      <c r="ED369" s="1">
        <v>4.7869360000000003E-3</v>
      </c>
      <c r="EH369" s="1">
        <v>0.67735144400000002</v>
      </c>
      <c r="EL369" s="1">
        <v>3.5902019999999998E-3</v>
      </c>
      <c r="EX369" s="1">
        <v>1.795101E-2</v>
      </c>
      <c r="FE369" s="1">
        <v>0.124460336</v>
      </c>
      <c r="FM369" s="1">
        <v>0.26926515000000001</v>
      </c>
    </row>
    <row r="370" spans="1:175" x14ac:dyDescent="0.2">
      <c r="A370" s="1" t="s">
        <v>2948</v>
      </c>
      <c r="B370" s="1" t="s">
        <v>55</v>
      </c>
      <c r="C370" s="1" t="s">
        <v>2056</v>
      </c>
      <c r="D370" s="1" t="s">
        <v>2</v>
      </c>
      <c r="E370" s="1">
        <v>33</v>
      </c>
      <c r="F370" s="1" t="s">
        <v>1289</v>
      </c>
      <c r="H370" s="1" t="s">
        <v>2949</v>
      </c>
      <c r="I370" s="1" t="s">
        <v>11</v>
      </c>
      <c r="J370" s="1" t="s">
        <v>1291</v>
      </c>
      <c r="K370" s="1" t="s">
        <v>1292</v>
      </c>
      <c r="L370" s="1" t="s">
        <v>1291</v>
      </c>
      <c r="N370" s="1" t="s">
        <v>2944</v>
      </c>
      <c r="P370" s="1" t="s">
        <v>1270</v>
      </c>
      <c r="Q370" s="1">
        <v>2007</v>
      </c>
      <c r="R370" s="1" t="s">
        <v>2945</v>
      </c>
      <c r="S370" s="1" t="s">
        <v>27</v>
      </c>
      <c r="T370" s="6">
        <v>1</v>
      </c>
      <c r="V370" s="1">
        <v>7.41</v>
      </c>
      <c r="Y370" s="1">
        <v>1.81450204</v>
      </c>
      <c r="Z370" s="1">
        <v>2.3595297049999999</v>
      </c>
      <c r="AA370" s="1">
        <v>2.1746942360000001</v>
      </c>
      <c r="AD370" s="1">
        <v>0.91370175438596501</v>
      </c>
      <c r="AS370" s="1">
        <v>2.0311589999999998E-3</v>
      </c>
      <c r="AU370" s="1">
        <v>2.7082120000000002E-3</v>
      </c>
      <c r="AV370" s="1">
        <v>1.3541060000000001E-3</v>
      </c>
      <c r="AW370" s="1">
        <v>0.238999709</v>
      </c>
      <c r="AY370" s="1">
        <v>3.3852649999999998E-2</v>
      </c>
      <c r="BA370" s="1">
        <v>1.142865464</v>
      </c>
      <c r="BD370" s="1">
        <v>5.6195399E-2</v>
      </c>
      <c r="BG370" s="1">
        <v>0.23629149699999999</v>
      </c>
      <c r="BI370" s="1">
        <v>2.3696854999999999E-2</v>
      </c>
      <c r="BJ370" s="1">
        <v>7.4475829999999998E-3</v>
      </c>
      <c r="BK370" s="1">
        <v>6.7705300000000003E-3</v>
      </c>
      <c r="BL370" s="1">
        <v>2.0311589999999998E-3</v>
      </c>
      <c r="BM370" s="1">
        <v>6.0257717000000002E-2</v>
      </c>
      <c r="BO370" s="1">
        <v>6.7705300000000003E-3</v>
      </c>
      <c r="BT370" s="1">
        <v>8.8016889999999997E-3</v>
      </c>
      <c r="BZ370" s="1">
        <v>0.32837070499999998</v>
      </c>
      <c r="CB370" s="1">
        <v>3.2498543999999997E-2</v>
      </c>
      <c r="CI370" s="1">
        <v>1.657425744</v>
      </c>
      <c r="CJ370" s="1">
        <v>2.5050961E-2</v>
      </c>
      <c r="CV370" s="1">
        <v>0.19092894599999999</v>
      </c>
      <c r="DB370" s="1">
        <v>8.3277518999999994E-2</v>
      </c>
      <c r="DE370" s="1">
        <v>2.6405067000000001E-2</v>
      </c>
      <c r="DK370" s="1">
        <v>0.84360803799999995</v>
      </c>
      <c r="DT370" s="1">
        <v>4.3331392000000003E-2</v>
      </c>
      <c r="ED370" s="1">
        <v>1.1509900999999999E-2</v>
      </c>
      <c r="EH370" s="1">
        <v>0.117807222</v>
      </c>
      <c r="EL370" s="1">
        <v>6.7705300000000003E-3</v>
      </c>
      <c r="EX370" s="1">
        <v>4.1977286000000003E-2</v>
      </c>
      <c r="FE370" s="1">
        <v>0.343265871</v>
      </c>
      <c r="FM370" s="1">
        <v>0.766423996</v>
      </c>
    </row>
    <row r="371" spans="1:175" x14ac:dyDescent="0.2">
      <c r="A371" s="1" t="s">
        <v>2950</v>
      </c>
      <c r="B371" s="1" t="s">
        <v>55</v>
      </c>
      <c r="C371" s="1" t="s">
        <v>2056</v>
      </c>
      <c r="D371" s="1" t="s">
        <v>2</v>
      </c>
      <c r="E371" s="1">
        <v>33</v>
      </c>
      <c r="F371" s="1" t="s">
        <v>1289</v>
      </c>
      <c r="H371" s="1" t="s">
        <v>2951</v>
      </c>
      <c r="I371" s="1" t="s">
        <v>11</v>
      </c>
      <c r="J371" s="1" t="s">
        <v>1291</v>
      </c>
      <c r="K371" s="1" t="s">
        <v>1292</v>
      </c>
      <c r="L371" s="1" t="s">
        <v>1291</v>
      </c>
      <c r="N371" s="1" t="s">
        <v>2944</v>
      </c>
      <c r="P371" s="1" t="s">
        <v>1270</v>
      </c>
      <c r="Q371" s="1">
        <v>2007</v>
      </c>
      <c r="R371" s="1" t="s">
        <v>2945</v>
      </c>
      <c r="S371" s="1" t="s">
        <v>27</v>
      </c>
      <c r="T371" s="6">
        <v>1</v>
      </c>
      <c r="V371" s="1">
        <v>5.23</v>
      </c>
      <c r="Y371" s="1">
        <v>1.2196719250000001</v>
      </c>
      <c r="Z371" s="1">
        <v>1.628439642</v>
      </c>
      <c r="AA371" s="1">
        <v>1.5412863859999999</v>
      </c>
      <c r="AD371" s="1">
        <v>0.90565774378585095</v>
      </c>
      <c r="AS371" s="1">
        <v>1.4209769999999999E-3</v>
      </c>
      <c r="AU371" s="1">
        <v>1.8946360000000001E-3</v>
      </c>
      <c r="AV371" s="1">
        <v>9.4731800000000005E-4</v>
      </c>
      <c r="AW371" s="1">
        <v>0.16862260400000001</v>
      </c>
      <c r="AY371" s="1">
        <v>2.4156608999999999E-2</v>
      </c>
      <c r="BA371" s="1">
        <v>0.78485296299999996</v>
      </c>
      <c r="BD371" s="1">
        <v>3.9787356000000003E-2</v>
      </c>
      <c r="BG371" s="1">
        <v>0.164833332</v>
      </c>
      <c r="BI371" s="1">
        <v>1.7051724000000001E-2</v>
      </c>
      <c r="BJ371" s="1">
        <v>5.6839079999999997E-3</v>
      </c>
      <c r="BK371" s="1">
        <v>5.2102490000000001E-3</v>
      </c>
      <c r="BL371" s="1">
        <v>1.4209769999999999E-3</v>
      </c>
      <c r="BM371" s="1">
        <v>4.7365899999999997E-3</v>
      </c>
      <c r="BO371" s="1">
        <v>4.7365899999999997E-3</v>
      </c>
      <c r="BT371" s="1">
        <v>5.6839079999999997E-3</v>
      </c>
      <c r="BZ371" s="1">
        <v>0.22925095600000001</v>
      </c>
      <c r="CB371" s="1">
        <v>2.1788314E-2</v>
      </c>
      <c r="CI371" s="1">
        <v>1.1367815999999999</v>
      </c>
      <c r="CJ371" s="1">
        <v>1.7525382999999999E-2</v>
      </c>
      <c r="CV371" s="1">
        <v>0.133571838</v>
      </c>
      <c r="DB371" s="1">
        <v>5.9681034000000001E-2</v>
      </c>
      <c r="DE371" s="1">
        <v>1.9420019E-2</v>
      </c>
      <c r="DK371" s="1">
        <v>0.59823131699999998</v>
      </c>
      <c r="DT371" s="1">
        <v>2.9366857999999999E-2</v>
      </c>
      <c r="ED371" s="1">
        <v>8.0522030000000008E-3</v>
      </c>
      <c r="EH371" s="1">
        <v>8.3363984000000002E-2</v>
      </c>
      <c r="EL371" s="1">
        <v>5.2102490000000001E-3</v>
      </c>
      <c r="EX371" s="1">
        <v>2.9840517E-2</v>
      </c>
      <c r="FE371" s="1">
        <v>0.24156609000000001</v>
      </c>
      <c r="FM371" s="1">
        <v>0.54565516800000002</v>
      </c>
    </row>
    <row r="372" spans="1:175" x14ac:dyDescent="0.2">
      <c r="A372" s="1" t="s">
        <v>2952</v>
      </c>
      <c r="B372" s="1" t="s">
        <v>55</v>
      </c>
      <c r="C372" s="1" t="s">
        <v>2056</v>
      </c>
      <c r="D372" s="1" t="s">
        <v>2</v>
      </c>
      <c r="E372" s="1">
        <v>33</v>
      </c>
      <c r="F372" s="1" t="s">
        <v>1289</v>
      </c>
      <c r="H372" s="1" t="s">
        <v>2953</v>
      </c>
      <c r="I372" s="1" t="s">
        <v>11</v>
      </c>
      <c r="J372" s="1" t="s">
        <v>1291</v>
      </c>
      <c r="K372" s="1" t="s">
        <v>1292</v>
      </c>
      <c r="L372" s="1" t="s">
        <v>1291</v>
      </c>
      <c r="N372" s="1" t="s">
        <v>2944</v>
      </c>
      <c r="P372" s="1" t="s">
        <v>1270</v>
      </c>
      <c r="Q372" s="1">
        <v>2007</v>
      </c>
      <c r="R372" s="1" t="s">
        <v>2945</v>
      </c>
      <c r="S372" s="1" t="s">
        <v>27</v>
      </c>
      <c r="T372" s="6">
        <v>1</v>
      </c>
      <c r="V372" s="1">
        <v>5.6</v>
      </c>
      <c r="Y372" s="1">
        <v>1.30500624</v>
      </c>
      <c r="Z372" s="1">
        <v>1.77761364</v>
      </c>
      <c r="AA372" s="1">
        <v>1.63837232</v>
      </c>
      <c r="AD372" s="1">
        <v>0.90746428571428595</v>
      </c>
      <c r="AS372" s="1">
        <v>1.52454E-3</v>
      </c>
      <c r="AU372" s="1">
        <v>2.03272E-3</v>
      </c>
      <c r="AV372" s="1">
        <v>1.01636E-3</v>
      </c>
      <c r="AW372" s="1">
        <v>0.18294479999999999</v>
      </c>
      <c r="AY372" s="1">
        <v>2.5917180000000001E-2</v>
      </c>
      <c r="BA372" s="1">
        <v>0.85221785999999999</v>
      </c>
      <c r="BD372" s="1">
        <v>4.0146220000000003E-2</v>
      </c>
      <c r="BG372" s="1">
        <v>0.16566668000000001</v>
      </c>
      <c r="BI372" s="1">
        <v>1.7278120000000001E-2</v>
      </c>
      <c r="BJ372" s="1">
        <v>5.5899799999999996E-3</v>
      </c>
      <c r="BK372" s="1">
        <v>5.0818E-3</v>
      </c>
      <c r="BL372" s="1">
        <v>1.01636E-3</v>
      </c>
      <c r="BM372" s="1">
        <v>4.5736199999999996E-3</v>
      </c>
      <c r="BO372" s="1">
        <v>5.5899799999999996E-3</v>
      </c>
      <c r="BT372" s="1">
        <v>6.6063399999999996E-3</v>
      </c>
      <c r="BZ372" s="1">
        <v>0.25408999999999998</v>
      </c>
      <c r="CB372" s="1">
        <v>2.439264E-2</v>
      </c>
      <c r="CI372" s="1">
        <v>1.2409755600000001</v>
      </c>
      <c r="CJ372" s="1">
        <v>1.7786300000000001E-2</v>
      </c>
      <c r="CV372" s="1">
        <v>0.14229040000000001</v>
      </c>
      <c r="DB372" s="1">
        <v>6.1489780000000001E-2</v>
      </c>
      <c r="DE372" s="1">
        <v>2.439264E-2</v>
      </c>
      <c r="DK372" s="1">
        <v>0.64996222000000003</v>
      </c>
      <c r="DT372" s="1">
        <v>3.3539880000000001E-2</v>
      </c>
      <c r="ED372" s="1">
        <v>8.1308800000000001E-3</v>
      </c>
      <c r="EH372" s="1">
        <v>8.9947860000000004E-2</v>
      </c>
      <c r="EL372" s="1">
        <v>5.0818E-3</v>
      </c>
      <c r="EX372" s="1">
        <v>3.0998979999999999E-2</v>
      </c>
      <c r="FE372" s="1">
        <v>0.26781085999999998</v>
      </c>
      <c r="FM372" s="1">
        <v>0.55289984000000003</v>
      </c>
    </row>
    <row r="373" spans="1:175" x14ac:dyDescent="0.2">
      <c r="A373" s="1" t="s">
        <v>2954</v>
      </c>
      <c r="B373" s="1" t="s">
        <v>55</v>
      </c>
      <c r="C373" s="1" t="s">
        <v>2955</v>
      </c>
      <c r="D373" s="1" t="s">
        <v>2</v>
      </c>
      <c r="E373" s="1">
        <v>21</v>
      </c>
      <c r="F373" s="1" t="s">
        <v>2956</v>
      </c>
      <c r="H373" s="1" t="s">
        <v>2957</v>
      </c>
      <c r="I373" s="1" t="s">
        <v>7</v>
      </c>
      <c r="J373" s="1" t="s">
        <v>2958</v>
      </c>
      <c r="K373" s="1" t="s">
        <v>2959</v>
      </c>
      <c r="L373" s="1" t="s">
        <v>2960</v>
      </c>
      <c r="M373" s="1" t="s">
        <v>2961</v>
      </c>
      <c r="N373" s="1" t="s">
        <v>2962</v>
      </c>
      <c r="O373" s="1">
        <v>30</v>
      </c>
      <c r="Q373" s="1">
        <v>1996</v>
      </c>
      <c r="R373" s="1" t="s">
        <v>2963</v>
      </c>
      <c r="S373" s="1" t="s">
        <v>27</v>
      </c>
      <c r="T373" s="6">
        <v>1</v>
      </c>
      <c r="U373" s="1">
        <v>72.489999999999995</v>
      </c>
      <c r="V373" s="1">
        <v>7.63</v>
      </c>
      <c r="Y373" s="1">
        <v>1.762</v>
      </c>
      <c r="Z373" s="1">
        <v>3.1150000000000002</v>
      </c>
      <c r="AA373" s="1">
        <v>1.458</v>
      </c>
      <c r="AB373" s="1">
        <v>0.10100000000000001</v>
      </c>
      <c r="AF373" s="1">
        <v>1.1779999999999999</v>
      </c>
      <c r="AG373" s="1">
        <v>0.28000000000000003</v>
      </c>
      <c r="AW373" s="1">
        <v>0.23799999999999999</v>
      </c>
      <c r="AY373" s="1">
        <v>2.3E-2</v>
      </c>
      <c r="BA373" s="1">
        <v>1.36</v>
      </c>
      <c r="BG373" s="1">
        <v>0.125</v>
      </c>
      <c r="BH373" s="1">
        <v>1.7000000000000001E-2</v>
      </c>
      <c r="BS373" s="1">
        <v>1.0999999999999999E-2</v>
      </c>
      <c r="BZ373" s="1">
        <v>0.51100000000000001</v>
      </c>
      <c r="CK373" s="1">
        <v>1.7789999999999999</v>
      </c>
      <c r="CM373" s="1">
        <v>0.16600000000000001</v>
      </c>
      <c r="CU373" s="1">
        <v>0.10199999999999999</v>
      </c>
      <c r="CV373" s="1">
        <v>0.317</v>
      </c>
      <c r="DA373" s="1">
        <v>0.19500000000000001</v>
      </c>
      <c r="DB373" s="1">
        <v>2.5000000000000001E-2</v>
      </c>
      <c r="DF373" s="1">
        <v>1.4E-2</v>
      </c>
      <c r="DK373" s="1">
        <v>0.20499999999999999</v>
      </c>
      <c r="DT373" s="1">
        <v>1.6E-2</v>
      </c>
      <c r="ED373" s="1">
        <v>0.01</v>
      </c>
      <c r="EF373" s="1">
        <v>4.5999999999999999E-2</v>
      </c>
      <c r="EK373" s="1">
        <v>8.0000000000000002E-3</v>
      </c>
      <c r="ET373" s="1">
        <v>7.4999999999999997E-2</v>
      </c>
      <c r="EW373" s="1">
        <v>4.7E-2</v>
      </c>
      <c r="FD373" s="1">
        <v>0.36199999999999999</v>
      </c>
      <c r="FG373" s="1">
        <v>1.7000000000000001E-2</v>
      </c>
      <c r="FJ373" s="1">
        <v>7.5999999999999998E-2</v>
      </c>
      <c r="FL373" s="1">
        <v>0.60099999999999998</v>
      </c>
    </row>
    <row r="374" spans="1:175" x14ac:dyDescent="0.2">
      <c r="A374" s="1" t="s">
        <v>2964</v>
      </c>
      <c r="B374" s="1" t="s">
        <v>55</v>
      </c>
      <c r="C374" s="1" t="s">
        <v>2965</v>
      </c>
      <c r="D374" s="1" t="s">
        <v>2</v>
      </c>
      <c r="E374" s="1">
        <v>33</v>
      </c>
      <c r="F374" s="1" t="s">
        <v>1298</v>
      </c>
      <c r="H374" s="1" t="s">
        <v>2966</v>
      </c>
      <c r="I374" s="1" t="s">
        <v>7</v>
      </c>
      <c r="J374" s="1" t="s">
        <v>1300</v>
      </c>
      <c r="K374" s="1" t="s">
        <v>1301</v>
      </c>
      <c r="L374" s="1" t="s">
        <v>1300</v>
      </c>
      <c r="M374" s="1" t="s">
        <v>2967</v>
      </c>
      <c r="N374" s="1" t="s">
        <v>2968</v>
      </c>
      <c r="P374" s="1" t="s">
        <v>2969</v>
      </c>
      <c r="Q374" s="1">
        <v>2002</v>
      </c>
      <c r="R374" s="1" t="s">
        <v>2970</v>
      </c>
      <c r="S374" s="1" t="s">
        <v>27</v>
      </c>
      <c r="T374" s="6">
        <v>1</v>
      </c>
      <c r="U374" s="1">
        <v>71.2</v>
      </c>
      <c r="X374" s="1">
        <v>9.8000000000000007</v>
      </c>
    </row>
    <row r="375" spans="1:175" x14ac:dyDescent="0.2">
      <c r="A375" s="1" t="s">
        <v>2971</v>
      </c>
      <c r="B375" s="1" t="s">
        <v>55</v>
      </c>
      <c r="C375" s="1" t="s">
        <v>2965</v>
      </c>
      <c r="D375" s="1" t="s">
        <v>2</v>
      </c>
      <c r="E375" s="1">
        <v>33</v>
      </c>
      <c r="F375" s="1" t="s">
        <v>1298</v>
      </c>
      <c r="H375" s="1" t="s">
        <v>2966</v>
      </c>
      <c r="I375" s="1" t="s">
        <v>7</v>
      </c>
      <c r="J375" s="1" t="s">
        <v>1300</v>
      </c>
      <c r="K375" s="1" t="s">
        <v>1301</v>
      </c>
      <c r="L375" s="1" t="s">
        <v>1300</v>
      </c>
      <c r="M375" s="1" t="s">
        <v>749</v>
      </c>
      <c r="N375" s="1" t="s">
        <v>2972</v>
      </c>
      <c r="P375" s="1" t="s">
        <v>2969</v>
      </c>
      <c r="Q375" s="1">
        <v>2002</v>
      </c>
      <c r="R375" s="1" t="s">
        <v>2970</v>
      </c>
      <c r="S375" s="1" t="s">
        <v>27</v>
      </c>
      <c r="T375" s="6">
        <v>1</v>
      </c>
      <c r="U375" s="1">
        <v>74.739999999999995</v>
      </c>
      <c r="X375" s="1">
        <v>6.53</v>
      </c>
    </row>
    <row r="376" spans="1:175" x14ac:dyDescent="0.2">
      <c r="A376" s="1" t="s">
        <v>2973</v>
      </c>
      <c r="B376" s="1" t="s">
        <v>55</v>
      </c>
      <c r="C376" s="1" t="s">
        <v>2965</v>
      </c>
      <c r="D376" s="1" t="s">
        <v>2</v>
      </c>
      <c r="E376" s="1">
        <v>33</v>
      </c>
      <c r="F376" s="1" t="s">
        <v>1298</v>
      </c>
      <c r="H376" s="1" t="s">
        <v>2966</v>
      </c>
      <c r="I376" s="1" t="s">
        <v>7</v>
      </c>
      <c r="J376" s="1" t="s">
        <v>1300</v>
      </c>
      <c r="K376" s="1" t="s">
        <v>1301</v>
      </c>
      <c r="L376" s="1" t="s">
        <v>1300</v>
      </c>
      <c r="M376" s="1" t="s">
        <v>2974</v>
      </c>
      <c r="N376" s="1" t="s">
        <v>2975</v>
      </c>
      <c r="P376" s="1" t="s">
        <v>2969</v>
      </c>
      <c r="Q376" s="1">
        <v>2002</v>
      </c>
      <c r="R376" s="1" t="s">
        <v>2970</v>
      </c>
      <c r="S376" s="1" t="s">
        <v>27</v>
      </c>
      <c r="T376" s="6">
        <v>1</v>
      </c>
      <c r="U376" s="1">
        <v>69.91</v>
      </c>
      <c r="X376" s="1">
        <v>10.37</v>
      </c>
    </row>
    <row r="377" spans="1:175" x14ac:dyDescent="0.2">
      <c r="A377" s="1" t="s">
        <v>2976</v>
      </c>
      <c r="B377" s="1" t="s">
        <v>55</v>
      </c>
      <c r="C377" s="1" t="s">
        <v>2584</v>
      </c>
      <c r="D377" s="1" t="s">
        <v>2</v>
      </c>
      <c r="E377" s="1">
        <v>23</v>
      </c>
      <c r="F377" s="1" t="s">
        <v>1735</v>
      </c>
      <c r="H377" s="1" t="s">
        <v>2977</v>
      </c>
      <c r="I377" s="1" t="s">
        <v>7</v>
      </c>
      <c r="J377" s="1" t="s">
        <v>1738</v>
      </c>
      <c r="K377" s="1" t="s">
        <v>1739</v>
      </c>
      <c r="L377" s="1" t="s">
        <v>1738</v>
      </c>
      <c r="P377" s="1" t="s">
        <v>2978</v>
      </c>
      <c r="Q377" s="1">
        <v>2007</v>
      </c>
      <c r="R377" s="1" t="s">
        <v>2979</v>
      </c>
      <c r="S377" s="1" t="s">
        <v>27</v>
      </c>
      <c r="T377" s="6">
        <v>1</v>
      </c>
      <c r="U377" s="1">
        <v>64.099999999999994</v>
      </c>
      <c r="AE377" s="1">
        <v>2.2006700000000001</v>
      </c>
      <c r="AF377" s="1">
        <v>0.59953000000000001</v>
      </c>
      <c r="AG377" s="1">
        <v>0.14216400000000001</v>
      </c>
      <c r="AW377" s="1">
        <v>0.111649</v>
      </c>
      <c r="AY377" s="1">
        <v>1.3283E-2</v>
      </c>
      <c r="BA377" s="1">
        <v>0.37012899999999999</v>
      </c>
      <c r="BD377" s="1">
        <v>1.4718999999999999E-2</v>
      </c>
      <c r="BG377" s="1">
        <v>6.1030000000000001E-2</v>
      </c>
      <c r="BZ377" s="1">
        <v>0.105187</v>
      </c>
      <c r="CK377" s="1">
        <v>0.44049300000000002</v>
      </c>
      <c r="CM377" s="1">
        <v>6.5337999999999993E-2</v>
      </c>
      <c r="DI377" s="1">
        <v>8.9750000000000003E-3</v>
      </c>
      <c r="DN377" s="1">
        <v>0.124573</v>
      </c>
      <c r="DT377" s="1">
        <v>8.9750000000000003E-3</v>
      </c>
      <c r="DZ377" s="1">
        <v>7.1799999999999998E-3</v>
      </c>
      <c r="ED377" s="1">
        <v>5.744E-3</v>
      </c>
      <c r="EH377" s="1">
        <v>4.8823999999999999E-2</v>
      </c>
      <c r="EK377" s="1">
        <v>3.2309999999999999E-3</v>
      </c>
      <c r="EL377" s="1">
        <v>4.3080000000000002E-3</v>
      </c>
      <c r="ER377" s="1">
        <v>1.077E-2</v>
      </c>
      <c r="ET377" s="1">
        <v>2.6207000000000001E-2</v>
      </c>
      <c r="EX377" s="1">
        <v>1.3283E-2</v>
      </c>
      <c r="EY377" s="1">
        <v>2.3694E-2</v>
      </c>
      <c r="FA377" s="1">
        <v>7.8980000000000005E-3</v>
      </c>
      <c r="FB377" s="1">
        <v>5.385E-3</v>
      </c>
      <c r="FE377" s="1">
        <v>0.13498399999999999</v>
      </c>
      <c r="FI377" s="1">
        <v>1.7949999999999999E-3</v>
      </c>
      <c r="FJ377" s="1">
        <v>5.1695999999999999E-2</v>
      </c>
      <c r="FM377" s="1">
        <v>0.36976999999999999</v>
      </c>
      <c r="FQ377" s="1">
        <v>9.3340000000000006E-2</v>
      </c>
      <c r="FS377" s="1">
        <v>7.0004999999999998E-2</v>
      </c>
    </row>
    <row r="378" spans="1:175" x14ac:dyDescent="0.2">
      <c r="A378" s="1" t="s">
        <v>2980</v>
      </c>
      <c r="B378" s="1" t="s">
        <v>55</v>
      </c>
      <c r="C378" s="1" t="s">
        <v>2584</v>
      </c>
      <c r="D378" s="1" t="s">
        <v>2</v>
      </c>
      <c r="E378" s="1">
        <v>23</v>
      </c>
      <c r="F378" s="1" t="s">
        <v>1735</v>
      </c>
      <c r="H378" s="1" t="s">
        <v>2981</v>
      </c>
      <c r="I378" s="1" t="s">
        <v>11</v>
      </c>
      <c r="J378" s="1" t="s">
        <v>1738</v>
      </c>
      <c r="K378" s="1" t="s">
        <v>1739</v>
      </c>
      <c r="L378" s="1" t="s">
        <v>1738</v>
      </c>
      <c r="N378" s="1" t="s">
        <v>2982</v>
      </c>
      <c r="P378" s="1" t="s">
        <v>2978</v>
      </c>
      <c r="Q378" s="1">
        <v>2007</v>
      </c>
      <c r="R378" s="1" t="s">
        <v>2979</v>
      </c>
      <c r="S378" s="1" t="s">
        <v>27</v>
      </c>
      <c r="T378" s="6">
        <v>1</v>
      </c>
      <c r="U378" s="1">
        <v>64.599999999999994</v>
      </c>
      <c r="AE378" s="1">
        <v>2.1947999999999999</v>
      </c>
      <c r="AF378" s="1">
        <v>0.60887999999999998</v>
      </c>
      <c r="AG378" s="1">
        <v>0.14584800000000001</v>
      </c>
      <c r="AW378" s="1">
        <v>7.9296000000000005E-2</v>
      </c>
      <c r="AY378" s="1">
        <v>8.1419999999999999E-3</v>
      </c>
      <c r="BA378" s="1">
        <v>0.33099000000000001</v>
      </c>
      <c r="BD378" s="1">
        <v>6.7260000000000002E-3</v>
      </c>
      <c r="BG378" s="1">
        <v>0.105846</v>
      </c>
      <c r="BZ378" s="1">
        <v>7.8941999999999998E-2</v>
      </c>
      <c r="CK378" s="1">
        <v>0.43577399999999999</v>
      </c>
      <c r="CM378" s="1">
        <v>3.363E-2</v>
      </c>
      <c r="DI378" s="1">
        <v>4.6020000000000002E-3</v>
      </c>
      <c r="DN378" s="1">
        <v>0.12956400000000001</v>
      </c>
      <c r="DT378" s="1">
        <v>7.4339999999999996E-3</v>
      </c>
      <c r="DZ378" s="1">
        <v>4.248E-3</v>
      </c>
      <c r="ED378" s="1">
        <v>3.5399999999999999E-4</v>
      </c>
      <c r="EH378" s="1">
        <v>5.5224000000000002E-2</v>
      </c>
      <c r="EK378" s="1">
        <v>2.4780000000000002E-3</v>
      </c>
      <c r="EL378" s="1">
        <v>3.5400000000000002E-3</v>
      </c>
      <c r="ER378" s="1">
        <v>4.9560000000000003E-3</v>
      </c>
      <c r="ET378" s="1">
        <v>2.2301999999999999E-2</v>
      </c>
      <c r="EX378" s="1">
        <v>1.3098E-2</v>
      </c>
      <c r="EY378" s="1">
        <v>2.3009999999999999E-2</v>
      </c>
      <c r="FA378" s="1">
        <v>4.9560000000000003E-3</v>
      </c>
      <c r="FB378" s="1">
        <v>5.3099999999999996E-3</v>
      </c>
      <c r="FE378" s="1">
        <v>0.140184</v>
      </c>
      <c r="FI378" s="1">
        <v>2.4780000000000002E-3</v>
      </c>
      <c r="FJ378" s="1">
        <v>5.3454000000000002E-2</v>
      </c>
      <c r="FM378" s="1">
        <v>0.43541999999999997</v>
      </c>
      <c r="FQ378" s="1">
        <v>0.101952</v>
      </c>
      <c r="FS378" s="1">
        <v>0.10088999999999999</v>
      </c>
    </row>
    <row r="379" spans="1:175" x14ac:dyDescent="0.2">
      <c r="A379" s="1" t="s">
        <v>2983</v>
      </c>
      <c r="B379" s="1" t="s">
        <v>55</v>
      </c>
      <c r="C379" s="1" t="s">
        <v>2584</v>
      </c>
      <c r="D379" s="1" t="s">
        <v>2</v>
      </c>
      <c r="E379" s="1">
        <v>23</v>
      </c>
      <c r="F379" s="1" t="s">
        <v>1735</v>
      </c>
      <c r="H379" s="1" t="s">
        <v>2984</v>
      </c>
      <c r="I379" s="1" t="s">
        <v>11</v>
      </c>
      <c r="J379" s="1" t="s">
        <v>1738</v>
      </c>
      <c r="K379" s="1" t="s">
        <v>1739</v>
      </c>
      <c r="L379" s="1" t="s">
        <v>1738</v>
      </c>
      <c r="N379" s="1" t="s">
        <v>2985</v>
      </c>
      <c r="P379" s="1" t="s">
        <v>2978</v>
      </c>
      <c r="Q379" s="1">
        <v>2007</v>
      </c>
      <c r="R379" s="1" t="s">
        <v>2979</v>
      </c>
      <c r="S379" s="1" t="s">
        <v>27</v>
      </c>
      <c r="T379" s="6">
        <v>1</v>
      </c>
      <c r="U379" s="1">
        <v>61.3</v>
      </c>
      <c r="AE379" s="1">
        <v>1.4009400000000001</v>
      </c>
      <c r="AF379" s="1">
        <v>0.49923000000000001</v>
      </c>
      <c r="AG379" s="1">
        <v>0.11687400000000001</v>
      </c>
      <c r="AW379" s="1">
        <v>5.9597999999999998E-2</v>
      </c>
      <c r="AY379" s="1">
        <v>5.8050000000000003E-3</v>
      </c>
      <c r="BA379" s="1">
        <v>0.229491</v>
      </c>
      <c r="BD379" s="1">
        <v>5.0309999999999999E-3</v>
      </c>
      <c r="BG379" s="1">
        <v>6.2694E-2</v>
      </c>
      <c r="BZ379" s="1">
        <v>5.1083999999999997E-2</v>
      </c>
      <c r="CK379" s="1">
        <v>0.25851600000000002</v>
      </c>
      <c r="CM379" s="1">
        <v>8.1270000000000005E-3</v>
      </c>
      <c r="DI379" s="1">
        <v>3.483E-3</v>
      </c>
      <c r="DN379" s="1">
        <v>0.10603799999999999</v>
      </c>
      <c r="DT379" s="1">
        <v>3.8700000000000002E-3</v>
      </c>
      <c r="DZ379" s="1">
        <v>3.0959999999999998E-3</v>
      </c>
      <c r="ED379" s="1" t="s">
        <v>15</v>
      </c>
      <c r="EH379" s="1">
        <v>3.483E-2</v>
      </c>
      <c r="EK379" s="1">
        <v>1.5479999999999999E-3</v>
      </c>
      <c r="EL379" s="1">
        <v>1.9350000000000001E-3</v>
      </c>
      <c r="ER379" s="1">
        <v>4.6439999999999997E-3</v>
      </c>
      <c r="ET379" s="1">
        <v>1.7415E-2</v>
      </c>
      <c r="EX379" s="1">
        <v>8.9009999999999992E-3</v>
      </c>
      <c r="EY379" s="1">
        <v>1.5093000000000001E-2</v>
      </c>
      <c r="FA379" s="1">
        <v>5.4180000000000001E-3</v>
      </c>
      <c r="FB379" s="1">
        <v>3.0959999999999998E-3</v>
      </c>
      <c r="FE379" s="1">
        <v>9.7910999999999998E-2</v>
      </c>
      <c r="FI379" s="1">
        <v>1.1609999999999999E-3</v>
      </c>
      <c r="FJ379" s="1">
        <v>3.3281999999999999E-2</v>
      </c>
      <c r="FM379" s="1">
        <v>0.277866</v>
      </c>
      <c r="FQ379" s="1">
        <v>5.5728E-2</v>
      </c>
      <c r="FS379" s="1">
        <v>4.6052999999999997E-2</v>
      </c>
    </row>
    <row r="380" spans="1:175" x14ac:dyDescent="0.2">
      <c r="A380" s="1" t="s">
        <v>2986</v>
      </c>
      <c r="B380" s="1" t="s">
        <v>55</v>
      </c>
      <c r="C380" s="1" t="s">
        <v>2987</v>
      </c>
      <c r="D380" s="1" t="s">
        <v>2</v>
      </c>
      <c r="E380" s="1">
        <v>23</v>
      </c>
      <c r="F380" s="1" t="s">
        <v>1735</v>
      </c>
      <c r="H380" s="1" t="s">
        <v>2977</v>
      </c>
      <c r="I380" s="1" t="s">
        <v>7</v>
      </c>
      <c r="J380" s="1" t="s">
        <v>1738</v>
      </c>
      <c r="K380" s="1" t="s">
        <v>1739</v>
      </c>
      <c r="L380" s="1" t="s">
        <v>1738</v>
      </c>
      <c r="P380" s="1" t="s">
        <v>2978</v>
      </c>
      <c r="Q380" s="1">
        <v>2007</v>
      </c>
      <c r="R380" s="1" t="s">
        <v>2979</v>
      </c>
      <c r="S380" s="1" t="s">
        <v>27</v>
      </c>
      <c r="T380" s="6">
        <v>1</v>
      </c>
      <c r="U380" s="1">
        <v>73.599999999999994</v>
      </c>
      <c r="AE380" s="1">
        <v>1.2645599999999999</v>
      </c>
      <c r="AF380" s="1">
        <v>0.48311999999999999</v>
      </c>
      <c r="AG380" s="1">
        <v>6.6792000000000004E-2</v>
      </c>
      <c r="AW380" s="1">
        <v>5.5176000000000003E-2</v>
      </c>
      <c r="AY380" s="1">
        <v>9.5040000000000003E-3</v>
      </c>
      <c r="BA380" s="1">
        <v>0.23311200000000001</v>
      </c>
      <c r="BD380" s="1">
        <v>1.0031999999999999E-2</v>
      </c>
      <c r="BG380" s="1">
        <v>4.5671999999999997E-2</v>
      </c>
      <c r="BZ380" s="1">
        <v>5.808E-2</v>
      </c>
      <c r="CK380" s="1">
        <v>0.158136</v>
      </c>
      <c r="CM380" s="1">
        <v>2.4024E-2</v>
      </c>
      <c r="DI380" s="1">
        <v>2.9039999999999999E-3</v>
      </c>
      <c r="DN380" s="1">
        <v>5.7551999999999999E-2</v>
      </c>
      <c r="DT380" s="1">
        <v>5.0159999999999996E-3</v>
      </c>
      <c r="DZ380" s="1">
        <v>1.5839999999999999E-3</v>
      </c>
      <c r="ED380" s="1">
        <v>1.5839999999999999E-3</v>
      </c>
      <c r="EH380" s="1">
        <v>1.6896000000000001E-2</v>
      </c>
      <c r="EK380" s="1">
        <v>1.848E-3</v>
      </c>
      <c r="EL380" s="1">
        <v>1.848E-3</v>
      </c>
      <c r="ER380" s="1">
        <v>2.1120000000000002E-3</v>
      </c>
      <c r="ET380" s="1">
        <v>1.6632000000000001E-2</v>
      </c>
      <c r="EX380" s="1">
        <v>8.4480000000000006E-3</v>
      </c>
      <c r="EY380" s="1">
        <v>1.3991999999999999E-2</v>
      </c>
      <c r="FA380" s="1">
        <v>3.1679999999999998E-3</v>
      </c>
      <c r="FB380" s="1">
        <v>3.6960000000000001E-3</v>
      </c>
      <c r="FE380" s="1">
        <v>7.3655999999999999E-2</v>
      </c>
      <c r="FI380" s="1">
        <v>1.0560000000000001E-3</v>
      </c>
      <c r="FJ380" s="1">
        <v>2.0856E-2</v>
      </c>
      <c r="FM380" s="1">
        <v>0.31152000000000002</v>
      </c>
      <c r="FQ380" s="1">
        <v>5.9400000000000001E-2</v>
      </c>
      <c r="FS380" s="1">
        <v>4.5407999999999997E-2</v>
      </c>
    </row>
    <row r="381" spans="1:175" x14ac:dyDescent="0.2">
      <c r="A381" s="1" t="s">
        <v>2988</v>
      </c>
      <c r="B381" s="1" t="s">
        <v>55</v>
      </c>
      <c r="C381" s="1" t="s">
        <v>2987</v>
      </c>
      <c r="D381" s="1" t="s">
        <v>2</v>
      </c>
      <c r="E381" s="1">
        <v>23</v>
      </c>
      <c r="F381" s="1" t="s">
        <v>1735</v>
      </c>
      <c r="H381" s="1" t="s">
        <v>2981</v>
      </c>
      <c r="I381" s="1" t="s">
        <v>11</v>
      </c>
      <c r="J381" s="1" t="s">
        <v>1738</v>
      </c>
      <c r="K381" s="1" t="s">
        <v>1739</v>
      </c>
      <c r="L381" s="1" t="s">
        <v>1738</v>
      </c>
      <c r="N381" s="1" t="s">
        <v>2989</v>
      </c>
      <c r="P381" s="1" t="s">
        <v>2978</v>
      </c>
      <c r="Q381" s="1">
        <v>2007</v>
      </c>
      <c r="R381" s="1" t="s">
        <v>2979</v>
      </c>
      <c r="S381" s="1" t="s">
        <v>27</v>
      </c>
      <c r="T381" s="6">
        <v>1</v>
      </c>
      <c r="U381" s="1">
        <v>68.3</v>
      </c>
      <c r="AE381" s="1">
        <v>1.81324</v>
      </c>
      <c r="AF381" s="1">
        <v>0.62448999999999999</v>
      </c>
      <c r="AG381" s="1">
        <v>0.113803</v>
      </c>
      <c r="AW381" s="1">
        <v>6.2766000000000002E-2</v>
      </c>
      <c r="AY381" s="1">
        <v>1.0461E-2</v>
      </c>
      <c r="BA381" s="1">
        <v>0.30558800000000003</v>
      </c>
      <c r="BD381" s="1">
        <v>1.2045999999999999E-2</v>
      </c>
      <c r="BG381" s="1">
        <v>6.8789000000000003E-2</v>
      </c>
      <c r="BZ381" s="1">
        <v>8.0518000000000006E-2</v>
      </c>
      <c r="CK381" s="1">
        <v>0.241871</v>
      </c>
      <c r="CM381" s="1">
        <v>3.3602E-2</v>
      </c>
      <c r="DI381" s="1">
        <v>3.8040000000000001E-3</v>
      </c>
      <c r="DN381" s="1">
        <v>0.10080600000000001</v>
      </c>
      <c r="DT381" s="1">
        <v>7.2909999999999997E-3</v>
      </c>
      <c r="DZ381" s="1">
        <v>9.5100000000000002E-4</v>
      </c>
      <c r="ED381" s="1">
        <v>2.5360000000000001E-3</v>
      </c>
      <c r="EH381" s="1">
        <v>2.9798000000000002E-2</v>
      </c>
      <c r="EK381" s="1">
        <v>2.8530000000000001E-3</v>
      </c>
      <c r="EL381" s="1">
        <v>2.8530000000000001E-3</v>
      </c>
      <c r="ER381" s="1">
        <v>2.5360000000000001E-3</v>
      </c>
      <c r="ET381" s="1">
        <v>2.4091999999999999E-2</v>
      </c>
      <c r="EX381" s="1">
        <v>1.1412E-2</v>
      </c>
      <c r="EY381" s="1">
        <v>2.1239000000000001E-2</v>
      </c>
      <c r="FA381" s="1">
        <v>5.0720000000000001E-3</v>
      </c>
      <c r="FB381" s="1">
        <v>4.4380000000000001E-3</v>
      </c>
      <c r="FE381" s="1">
        <v>0.114437</v>
      </c>
      <c r="FI381" s="1">
        <v>9.5100000000000002E-4</v>
      </c>
      <c r="FJ381" s="1">
        <v>3.6455000000000001E-2</v>
      </c>
      <c r="FM381" s="1">
        <v>0.44696999999999998</v>
      </c>
      <c r="FQ381" s="1">
        <v>9.6684999999999993E-2</v>
      </c>
      <c r="FS381" s="1">
        <v>8.1152000000000002E-2</v>
      </c>
    </row>
    <row r="382" spans="1:175" x14ac:dyDescent="0.2">
      <c r="A382" s="1" t="s">
        <v>2990</v>
      </c>
      <c r="B382" s="1" t="s">
        <v>55</v>
      </c>
      <c r="C382" s="1" t="s">
        <v>2987</v>
      </c>
      <c r="D382" s="1" t="s">
        <v>2</v>
      </c>
      <c r="E382" s="1">
        <v>23</v>
      </c>
      <c r="F382" s="1" t="s">
        <v>1735</v>
      </c>
      <c r="H382" s="1" t="s">
        <v>2984</v>
      </c>
      <c r="I382" s="1" t="s">
        <v>11</v>
      </c>
      <c r="J382" s="1" t="s">
        <v>1738</v>
      </c>
      <c r="K382" s="1" t="s">
        <v>1739</v>
      </c>
      <c r="L382" s="1" t="s">
        <v>1738</v>
      </c>
      <c r="N382" s="1" t="s">
        <v>2985</v>
      </c>
      <c r="P382" s="1" t="s">
        <v>2978</v>
      </c>
      <c r="Q382" s="1">
        <v>2007</v>
      </c>
      <c r="R382" s="1" t="s">
        <v>2979</v>
      </c>
      <c r="S382" s="1" t="s">
        <v>27</v>
      </c>
      <c r="T382" s="6">
        <v>1</v>
      </c>
      <c r="U382" s="1">
        <v>65.900000000000006</v>
      </c>
      <c r="AE382" s="1">
        <v>1.2514700000000001</v>
      </c>
      <c r="AF382" s="1">
        <v>0.57628999999999997</v>
      </c>
      <c r="AG382" s="1">
        <v>0.11559899999999999</v>
      </c>
      <c r="AW382" s="1">
        <v>3.1031E-2</v>
      </c>
      <c r="AY382" s="1">
        <v>4.0920000000000002E-3</v>
      </c>
      <c r="BA382" s="1">
        <v>0.219945</v>
      </c>
      <c r="BD382" s="1">
        <v>2.0460000000000001E-3</v>
      </c>
      <c r="BG382" s="1">
        <v>8.9682999999999999E-2</v>
      </c>
      <c r="BZ382" s="1">
        <v>3.9897000000000002E-2</v>
      </c>
      <c r="CK382" s="1">
        <v>0.143902</v>
      </c>
      <c r="CM382" s="1">
        <v>0</v>
      </c>
      <c r="DI382" s="1">
        <v>1.364E-3</v>
      </c>
      <c r="DN382" s="1">
        <v>0.108097</v>
      </c>
      <c r="DT382" s="1">
        <v>2.728E-3</v>
      </c>
      <c r="DZ382" s="1">
        <v>1.364E-3</v>
      </c>
      <c r="ED382" s="1" t="s">
        <v>15</v>
      </c>
      <c r="EH382" s="1">
        <v>1.7732000000000001E-2</v>
      </c>
      <c r="EK382" s="1">
        <v>6.8199999999999999E-4</v>
      </c>
      <c r="EL382" s="1">
        <v>1.023E-3</v>
      </c>
      <c r="ER382" s="1">
        <v>6.8199999999999999E-4</v>
      </c>
      <c r="ET382" s="1">
        <v>1.9436999999999999E-2</v>
      </c>
      <c r="EX382" s="1">
        <v>8.5249999999999996E-3</v>
      </c>
      <c r="EY382" s="1">
        <v>1.1594E-2</v>
      </c>
      <c r="FA382" s="1">
        <v>3.4099999999999999E-4</v>
      </c>
      <c r="FB382" s="1">
        <v>4.4330000000000003E-3</v>
      </c>
      <c r="FE382" s="1">
        <v>8.3886000000000002E-2</v>
      </c>
      <c r="FI382" s="1">
        <v>3.4099999999999998E-3</v>
      </c>
      <c r="FJ382" s="1">
        <v>2.0119000000000001E-2</v>
      </c>
      <c r="FM382" s="1">
        <v>0.35634500000000002</v>
      </c>
      <c r="FQ382" s="1">
        <v>4.6717000000000002E-2</v>
      </c>
      <c r="FS382" s="1">
        <v>3.3077000000000002E-2</v>
      </c>
    </row>
    <row r="383" spans="1:175" x14ac:dyDescent="0.2">
      <c r="A383" s="1" t="s">
        <v>2991</v>
      </c>
      <c r="B383" s="1" t="s">
        <v>55</v>
      </c>
      <c r="C383" s="1" t="s">
        <v>2992</v>
      </c>
      <c r="D383" s="1" t="s">
        <v>2</v>
      </c>
      <c r="E383" s="1">
        <v>37</v>
      </c>
      <c r="F383" s="1" t="s">
        <v>2246</v>
      </c>
      <c r="H383" s="1" t="s">
        <v>2993</v>
      </c>
      <c r="I383" s="1" t="s">
        <v>7</v>
      </c>
      <c r="J383" s="1" t="s">
        <v>2248</v>
      </c>
      <c r="K383" s="1" t="s">
        <v>2249</v>
      </c>
      <c r="L383" s="1" t="s">
        <v>2248</v>
      </c>
      <c r="M383" s="1" t="s">
        <v>2994</v>
      </c>
      <c r="O383" s="1">
        <v>3</v>
      </c>
      <c r="Q383" s="1">
        <v>2009</v>
      </c>
      <c r="R383" s="1" t="s">
        <v>2995</v>
      </c>
      <c r="S383" s="1" t="s">
        <v>27</v>
      </c>
      <c r="T383" s="6">
        <v>1</v>
      </c>
      <c r="U383" s="1">
        <v>70.099999999999994</v>
      </c>
      <c r="V383" s="1">
        <v>6</v>
      </c>
    </row>
    <row r="384" spans="1:175" x14ac:dyDescent="0.2">
      <c r="A384" s="1" t="s">
        <v>2996</v>
      </c>
      <c r="B384" s="1" t="s">
        <v>55</v>
      </c>
      <c r="C384" s="1" t="s">
        <v>2992</v>
      </c>
      <c r="D384" s="1" t="s">
        <v>2</v>
      </c>
      <c r="E384" s="1">
        <v>37</v>
      </c>
      <c r="F384" s="1" t="s">
        <v>2246</v>
      </c>
      <c r="H384" s="1" t="s">
        <v>2993</v>
      </c>
      <c r="I384" s="1" t="s">
        <v>7</v>
      </c>
      <c r="J384" s="1" t="s">
        <v>2248</v>
      </c>
      <c r="K384" s="1" t="s">
        <v>2249</v>
      </c>
      <c r="L384" s="1" t="s">
        <v>2248</v>
      </c>
      <c r="M384" s="1" t="s">
        <v>2997</v>
      </c>
      <c r="O384" s="1">
        <v>3</v>
      </c>
      <c r="Q384" s="1">
        <v>2009</v>
      </c>
      <c r="R384" s="1" t="s">
        <v>2995</v>
      </c>
      <c r="S384" s="1" t="s">
        <v>27</v>
      </c>
      <c r="T384" s="6">
        <v>1</v>
      </c>
      <c r="U384" s="1">
        <v>72</v>
      </c>
      <c r="V384" s="1">
        <v>4.9000000000000004</v>
      </c>
    </row>
    <row r="385" spans="1:169" x14ac:dyDescent="0.2">
      <c r="A385" s="1" t="s">
        <v>2998</v>
      </c>
      <c r="B385" s="1" t="s">
        <v>55</v>
      </c>
      <c r="C385" s="1" t="s">
        <v>2992</v>
      </c>
      <c r="D385" s="1" t="s">
        <v>2</v>
      </c>
      <c r="E385" s="1">
        <v>37</v>
      </c>
      <c r="F385" s="1" t="s">
        <v>2246</v>
      </c>
      <c r="H385" s="1" t="s">
        <v>2993</v>
      </c>
      <c r="I385" s="1" t="s">
        <v>7</v>
      </c>
      <c r="J385" s="1" t="s">
        <v>2248</v>
      </c>
      <c r="K385" s="1" t="s">
        <v>2249</v>
      </c>
      <c r="L385" s="1" t="s">
        <v>2248</v>
      </c>
      <c r="M385" s="1" t="s">
        <v>2999</v>
      </c>
      <c r="O385" s="1">
        <v>3</v>
      </c>
      <c r="Q385" s="1">
        <v>2009</v>
      </c>
      <c r="R385" s="1" t="s">
        <v>2995</v>
      </c>
      <c r="S385" s="1" t="s">
        <v>27</v>
      </c>
      <c r="T385" s="6">
        <v>1</v>
      </c>
      <c r="U385" s="1">
        <v>68.5</v>
      </c>
      <c r="V385" s="1">
        <v>7.7</v>
      </c>
    </row>
    <row r="386" spans="1:169" x14ac:dyDescent="0.2">
      <c r="A386" s="1" t="s">
        <v>3000</v>
      </c>
      <c r="B386" s="1" t="s">
        <v>55</v>
      </c>
      <c r="C386" s="1" t="s">
        <v>2992</v>
      </c>
      <c r="D386" s="1" t="s">
        <v>2</v>
      </c>
      <c r="E386" s="1">
        <v>37</v>
      </c>
      <c r="F386" s="1" t="s">
        <v>2246</v>
      </c>
      <c r="H386" s="1" t="s">
        <v>2993</v>
      </c>
      <c r="I386" s="1" t="s">
        <v>7</v>
      </c>
      <c r="J386" s="1" t="s">
        <v>2248</v>
      </c>
      <c r="K386" s="1" t="s">
        <v>2249</v>
      </c>
      <c r="L386" s="1" t="s">
        <v>2248</v>
      </c>
      <c r="M386" s="1" t="s">
        <v>3001</v>
      </c>
      <c r="O386" s="1">
        <v>3</v>
      </c>
      <c r="Q386" s="1">
        <v>2009</v>
      </c>
      <c r="R386" s="1" t="s">
        <v>2995</v>
      </c>
      <c r="S386" s="1" t="s">
        <v>27</v>
      </c>
      <c r="T386" s="6">
        <v>1</v>
      </c>
      <c r="U386" s="1">
        <v>70.099999999999994</v>
      </c>
      <c r="V386" s="1">
        <v>6.3</v>
      </c>
    </row>
    <row r="387" spans="1:169" x14ac:dyDescent="0.2">
      <c r="A387" s="1" t="s">
        <v>3002</v>
      </c>
      <c r="B387" s="1" t="s">
        <v>55</v>
      </c>
      <c r="C387" s="1" t="s">
        <v>2992</v>
      </c>
      <c r="D387" s="1" t="s">
        <v>2</v>
      </c>
      <c r="E387" s="1">
        <v>37</v>
      </c>
      <c r="F387" s="1" t="s">
        <v>2246</v>
      </c>
      <c r="H387" s="1" t="s">
        <v>2993</v>
      </c>
      <c r="I387" s="1" t="s">
        <v>7</v>
      </c>
      <c r="J387" s="1" t="s">
        <v>2248</v>
      </c>
      <c r="K387" s="1" t="s">
        <v>2249</v>
      </c>
      <c r="L387" s="1" t="s">
        <v>2248</v>
      </c>
      <c r="M387" s="1" t="s">
        <v>3003</v>
      </c>
      <c r="O387" s="1">
        <v>3</v>
      </c>
      <c r="Q387" s="1">
        <v>2009</v>
      </c>
      <c r="R387" s="1" t="s">
        <v>2995</v>
      </c>
      <c r="S387" s="1" t="s">
        <v>27</v>
      </c>
      <c r="T387" s="6">
        <v>1</v>
      </c>
      <c r="U387" s="1">
        <v>71.900000000000006</v>
      </c>
      <c r="V387" s="1">
        <v>4.5999999999999996</v>
      </c>
    </row>
    <row r="388" spans="1:169" x14ac:dyDescent="0.2">
      <c r="A388" s="1" t="s">
        <v>3004</v>
      </c>
      <c r="B388" s="1" t="s">
        <v>55</v>
      </c>
      <c r="C388" s="1" t="s">
        <v>2992</v>
      </c>
      <c r="D388" s="1" t="s">
        <v>2</v>
      </c>
      <c r="E388" s="1">
        <v>37</v>
      </c>
      <c r="F388" s="1" t="s">
        <v>2246</v>
      </c>
      <c r="H388" s="1" t="s">
        <v>2993</v>
      </c>
      <c r="I388" s="1" t="s">
        <v>7</v>
      </c>
      <c r="J388" s="1" t="s">
        <v>2248</v>
      </c>
      <c r="K388" s="1" t="s">
        <v>2249</v>
      </c>
      <c r="L388" s="1" t="s">
        <v>2248</v>
      </c>
      <c r="M388" s="1" t="s">
        <v>3005</v>
      </c>
      <c r="O388" s="1">
        <v>3</v>
      </c>
      <c r="Q388" s="1">
        <v>2009</v>
      </c>
      <c r="R388" s="1" t="s">
        <v>2995</v>
      </c>
      <c r="S388" s="1" t="s">
        <v>27</v>
      </c>
      <c r="T388" s="6">
        <v>1</v>
      </c>
      <c r="U388" s="1">
        <v>72.7</v>
      </c>
      <c r="V388" s="1">
        <v>3.8</v>
      </c>
    </row>
    <row r="389" spans="1:169" x14ac:dyDescent="0.2">
      <c r="A389" s="1" t="s">
        <v>3006</v>
      </c>
      <c r="B389" s="1" t="s">
        <v>55</v>
      </c>
      <c r="C389" s="1" t="s">
        <v>2992</v>
      </c>
      <c r="D389" s="1" t="s">
        <v>2</v>
      </c>
      <c r="E389" s="1">
        <v>37</v>
      </c>
      <c r="F389" s="1" t="s">
        <v>2246</v>
      </c>
      <c r="H389" s="1" t="s">
        <v>2993</v>
      </c>
      <c r="I389" s="1" t="s">
        <v>7</v>
      </c>
      <c r="J389" s="1" t="s">
        <v>2248</v>
      </c>
      <c r="K389" s="1" t="s">
        <v>2249</v>
      </c>
      <c r="L389" s="1" t="s">
        <v>2248</v>
      </c>
      <c r="M389" s="1" t="s">
        <v>3007</v>
      </c>
      <c r="O389" s="1">
        <v>3</v>
      </c>
      <c r="Q389" s="1">
        <v>2009</v>
      </c>
      <c r="R389" s="1" t="s">
        <v>2995</v>
      </c>
      <c r="S389" s="1" t="s">
        <v>27</v>
      </c>
      <c r="T389" s="6">
        <v>1</v>
      </c>
      <c r="U389" s="1">
        <v>72.8</v>
      </c>
      <c r="V389" s="1">
        <v>3.5</v>
      </c>
    </row>
    <row r="390" spans="1:169" x14ac:dyDescent="0.2">
      <c r="A390" s="1" t="s">
        <v>3008</v>
      </c>
      <c r="B390" s="1" t="s">
        <v>55</v>
      </c>
      <c r="C390" s="1" t="s">
        <v>2992</v>
      </c>
      <c r="D390" s="1" t="s">
        <v>2</v>
      </c>
      <c r="E390" s="1">
        <v>37</v>
      </c>
      <c r="F390" s="1" t="s">
        <v>2246</v>
      </c>
      <c r="H390" s="1" t="s">
        <v>2993</v>
      </c>
      <c r="I390" s="1" t="s">
        <v>7</v>
      </c>
      <c r="J390" s="1" t="s">
        <v>2248</v>
      </c>
      <c r="K390" s="1" t="s">
        <v>2249</v>
      </c>
      <c r="L390" s="1" t="s">
        <v>2248</v>
      </c>
      <c r="M390" s="1" t="s">
        <v>3009</v>
      </c>
      <c r="O390" s="1">
        <v>3</v>
      </c>
      <c r="Q390" s="1">
        <v>2009</v>
      </c>
      <c r="R390" s="1" t="s">
        <v>2995</v>
      </c>
      <c r="S390" s="1" t="s">
        <v>27</v>
      </c>
      <c r="T390" s="6">
        <v>1</v>
      </c>
      <c r="U390" s="1">
        <v>73.8</v>
      </c>
      <c r="V390" s="1">
        <v>2.9</v>
      </c>
    </row>
    <row r="391" spans="1:169" x14ac:dyDescent="0.2">
      <c r="A391" s="1" t="s">
        <v>3010</v>
      </c>
      <c r="B391" s="1" t="s">
        <v>55</v>
      </c>
      <c r="C391" s="1" t="s">
        <v>2992</v>
      </c>
      <c r="D391" s="1" t="s">
        <v>2</v>
      </c>
      <c r="E391" s="1">
        <v>37</v>
      </c>
      <c r="F391" s="1" t="s">
        <v>2246</v>
      </c>
      <c r="H391" s="1" t="s">
        <v>2993</v>
      </c>
      <c r="I391" s="1" t="s">
        <v>7</v>
      </c>
      <c r="J391" s="1" t="s">
        <v>2248</v>
      </c>
      <c r="K391" s="1" t="s">
        <v>2249</v>
      </c>
      <c r="L391" s="1" t="s">
        <v>2248</v>
      </c>
      <c r="M391" s="1" t="s">
        <v>3011</v>
      </c>
      <c r="O391" s="1">
        <v>3</v>
      </c>
      <c r="Q391" s="1">
        <v>2009</v>
      </c>
      <c r="R391" s="1" t="s">
        <v>2995</v>
      </c>
      <c r="S391" s="1" t="s">
        <v>27</v>
      </c>
      <c r="T391" s="6">
        <v>1</v>
      </c>
      <c r="U391" s="1">
        <v>72.2</v>
      </c>
      <c r="V391" s="1">
        <v>3.2</v>
      </c>
    </row>
    <row r="392" spans="1:169" x14ac:dyDescent="0.2">
      <c r="A392" s="1" t="s">
        <v>3012</v>
      </c>
      <c r="B392" s="1" t="s">
        <v>55</v>
      </c>
      <c r="C392" s="1" t="s">
        <v>2992</v>
      </c>
      <c r="D392" s="1" t="s">
        <v>2</v>
      </c>
      <c r="E392" s="1">
        <v>37</v>
      </c>
      <c r="F392" s="1" t="s">
        <v>2246</v>
      </c>
      <c r="H392" s="1" t="s">
        <v>2993</v>
      </c>
      <c r="I392" s="1" t="s">
        <v>7</v>
      </c>
      <c r="J392" s="1" t="s">
        <v>2248</v>
      </c>
      <c r="K392" s="1" t="s">
        <v>2249</v>
      </c>
      <c r="L392" s="1" t="s">
        <v>2248</v>
      </c>
      <c r="M392" s="1" t="s">
        <v>3013</v>
      </c>
      <c r="O392" s="1">
        <v>3</v>
      </c>
      <c r="Q392" s="1">
        <v>2009</v>
      </c>
      <c r="R392" s="1" t="s">
        <v>2995</v>
      </c>
      <c r="S392" s="1" t="s">
        <v>27</v>
      </c>
      <c r="T392" s="6">
        <v>1</v>
      </c>
      <c r="U392" s="1">
        <v>71</v>
      </c>
      <c r="V392" s="1">
        <v>4.9000000000000004</v>
      </c>
    </row>
    <row r="393" spans="1:169" x14ac:dyDescent="0.2">
      <c r="A393" s="1" t="s">
        <v>3014</v>
      </c>
      <c r="B393" s="1" t="s">
        <v>55</v>
      </c>
      <c r="C393" s="1" t="s">
        <v>3015</v>
      </c>
      <c r="E393" s="1">
        <v>36</v>
      </c>
      <c r="F393" s="1" t="s">
        <v>3016</v>
      </c>
      <c r="H393" s="1" t="s">
        <v>3017</v>
      </c>
      <c r="I393" s="1" t="s">
        <v>7</v>
      </c>
      <c r="J393" s="1" t="s">
        <v>3018</v>
      </c>
      <c r="K393" s="1" t="s">
        <v>3019</v>
      </c>
      <c r="L393" s="1" t="s">
        <v>3018</v>
      </c>
      <c r="N393" s="1" t="s">
        <v>3020</v>
      </c>
      <c r="O393" s="1">
        <v>1</v>
      </c>
      <c r="P393" s="1" t="s">
        <v>3021</v>
      </c>
      <c r="Q393" s="1">
        <v>2010</v>
      </c>
      <c r="R393" s="1" t="s">
        <v>3022</v>
      </c>
      <c r="S393" s="1" t="s">
        <v>27</v>
      </c>
      <c r="T393" s="6">
        <v>1</v>
      </c>
      <c r="U393" s="1">
        <v>71.8</v>
      </c>
      <c r="V393" s="1">
        <v>2.6789999999999998</v>
      </c>
      <c r="Y393" s="1">
        <v>0.36472241253341797</v>
      </c>
      <c r="Z393" s="1">
        <v>0.43315621462735698</v>
      </c>
      <c r="AA393" s="1">
        <v>1.3630768406009699</v>
      </c>
      <c r="AB393" s="1">
        <v>0.195551532238258</v>
      </c>
      <c r="AD393" s="1">
        <v>0.87962187383351997</v>
      </c>
      <c r="AF393" s="1">
        <v>0.12516533480412401</v>
      </c>
      <c r="AG393" s="1">
        <v>0.45078098253839499</v>
      </c>
      <c r="AW393" s="1">
        <v>2.1014130948214301E-2</v>
      </c>
      <c r="AY393" s="1">
        <v>5.8568682525274203E-3</v>
      </c>
      <c r="BA393" s="1">
        <v>0.183987639049466</v>
      </c>
      <c r="BD393" s="1">
        <v>7.3039651877561404E-3</v>
      </c>
      <c r="BG393" s="1">
        <v>6.9438612753099302E-2</v>
      </c>
      <c r="BK393" s="1">
        <v>7.7121196342354204E-2</v>
      </c>
      <c r="BS393" s="1">
        <v>9.1948227973384006E-2</v>
      </c>
      <c r="BV393" s="1">
        <v>2.3650984424552698E-2</v>
      </c>
      <c r="CA393" s="1">
        <v>9.3952865898859293E-3</v>
      </c>
      <c r="CF393" s="1">
        <v>4.9460258248100603E-3</v>
      </c>
      <c r="CQ393" s="1">
        <v>3.2582792927211598E-2</v>
      </c>
      <c r="CZ393" s="1">
        <v>6.4022555932259102E-3</v>
      </c>
      <c r="DD393" s="1">
        <v>3.0936473041453202E-3</v>
      </c>
      <c r="DF393" s="1">
        <v>0.26113699399014101</v>
      </c>
      <c r="DN393" s="1">
        <v>0.25231360712623802</v>
      </c>
      <c r="DT393" s="1">
        <v>4.1247443478670598E-2</v>
      </c>
      <c r="DY393" s="1">
        <v>1.9271242336541299E-2</v>
      </c>
      <c r="DZ393" s="1">
        <v>0.68763082761601102</v>
      </c>
      <c r="ED393" s="1">
        <v>0.13850088366874899</v>
      </c>
      <c r="EH393" s="1">
        <v>2.61901159918758E-2</v>
      </c>
      <c r="EK393" s="1">
        <v>8.5315332690762604E-3</v>
      </c>
      <c r="EP393" s="1">
        <v>8.02284533058958E-2</v>
      </c>
      <c r="EX393" s="1">
        <v>1.0187514995661701E-2</v>
      </c>
      <c r="FE393" s="1">
        <v>3.9553951882197097E-2</v>
      </c>
      <c r="FM393" s="1">
        <v>5.9421266930051099E-2</v>
      </c>
    </row>
    <row r="394" spans="1:169" x14ac:dyDescent="0.2">
      <c r="A394" s="1" t="s">
        <v>3023</v>
      </c>
      <c r="B394" s="1" t="s">
        <v>55</v>
      </c>
      <c r="C394" s="1" t="s">
        <v>3015</v>
      </c>
      <c r="E394" s="1">
        <v>36</v>
      </c>
      <c r="F394" s="1" t="s">
        <v>3016</v>
      </c>
      <c r="H394" s="1" t="s">
        <v>3024</v>
      </c>
      <c r="I394" s="1" t="s">
        <v>11</v>
      </c>
      <c r="J394" s="1" t="s">
        <v>3018</v>
      </c>
      <c r="K394" s="1" t="s">
        <v>3019</v>
      </c>
      <c r="L394" s="1" t="s">
        <v>3018</v>
      </c>
      <c r="N394" s="1" t="s">
        <v>3025</v>
      </c>
      <c r="O394" s="1">
        <v>1</v>
      </c>
      <c r="P394" s="1" t="s">
        <v>3021</v>
      </c>
      <c r="Q394" s="1">
        <v>2010</v>
      </c>
      <c r="R394" s="1" t="s">
        <v>3022</v>
      </c>
      <c r="S394" s="1" t="s">
        <v>27</v>
      </c>
      <c r="T394" s="6">
        <v>1</v>
      </c>
      <c r="U394" s="1">
        <v>68.8</v>
      </c>
      <c r="V394" s="1">
        <v>4.056</v>
      </c>
      <c r="Y394" s="1">
        <v>0.63132114865467703</v>
      </c>
      <c r="Z394" s="1">
        <v>0.686196445104307</v>
      </c>
      <c r="AA394" s="1">
        <v>2.0047909103520301</v>
      </c>
      <c r="AB394" s="1">
        <v>0.31893949588899001</v>
      </c>
      <c r="AD394" s="1">
        <v>0.89774358974359003</v>
      </c>
      <c r="AF394" s="1">
        <v>0.18947808428051899</v>
      </c>
      <c r="AG394" s="1">
        <v>0.66467218165504005</v>
      </c>
      <c r="AW394" s="1">
        <v>7.5795926648448905E-2</v>
      </c>
      <c r="AY394" s="1">
        <v>1.48479655166783E-2</v>
      </c>
      <c r="BA394" s="1">
        <v>0.30002992892139702</v>
      </c>
      <c r="BD394" s="1">
        <v>1.1654794662471201E-2</v>
      </c>
      <c r="BG394" s="1">
        <v>0.11829226922172301</v>
      </c>
      <c r="BI394" s="1">
        <v>1.4665847090828001E-2</v>
      </c>
      <c r="BK394" s="1">
        <v>9.6034416593130195E-2</v>
      </c>
      <c r="BS394" s="1">
        <v>0.21680997603258401</v>
      </c>
      <c r="CA394" s="1">
        <v>2.2874322383355499E-2</v>
      </c>
      <c r="CF394" s="1">
        <v>7.6456432009452497E-3</v>
      </c>
      <c r="CQ394" s="1">
        <v>4.4162356534286303E-2</v>
      </c>
      <c r="CZ394" s="1">
        <v>1.6494509491345399E-2</v>
      </c>
      <c r="DF394" s="1">
        <v>0.37820963746178998</v>
      </c>
      <c r="DN394" s="1">
        <v>0.53195897250259805</v>
      </c>
      <c r="DT394" s="1">
        <v>4.6538154395315903E-2</v>
      </c>
      <c r="DY394" s="1">
        <v>1.9859856264809399E-2</v>
      </c>
      <c r="DZ394" s="1">
        <v>1.1079352964171101</v>
      </c>
      <c r="ED394" s="1">
        <v>6.3098377717159607E-2</v>
      </c>
      <c r="EH394" s="1">
        <v>3.24610151261688E-2</v>
      </c>
      <c r="EK394" s="1">
        <v>1.39208524986968E-2</v>
      </c>
      <c r="EP394" s="1">
        <v>2.2845491734552099E-2</v>
      </c>
      <c r="EX394" s="1">
        <v>9.1558245412700408E-3</v>
      </c>
      <c r="FE394" s="1">
        <v>6.7367259414337896E-2</v>
      </c>
      <c r="FM394" s="1">
        <v>8.9649809740012604E-2</v>
      </c>
    </row>
    <row r="395" spans="1:169" x14ac:dyDescent="0.2">
      <c r="A395" s="1" t="s">
        <v>3026</v>
      </c>
      <c r="B395" s="1" t="s">
        <v>55</v>
      </c>
      <c r="C395" s="1" t="s">
        <v>3015</v>
      </c>
      <c r="E395" s="1">
        <v>36</v>
      </c>
      <c r="F395" s="1" t="s">
        <v>3016</v>
      </c>
      <c r="H395" s="1" t="s">
        <v>3024</v>
      </c>
      <c r="I395" s="1" t="s">
        <v>11</v>
      </c>
      <c r="J395" s="1" t="s">
        <v>3018</v>
      </c>
      <c r="K395" s="1" t="s">
        <v>3019</v>
      </c>
      <c r="L395" s="1" t="s">
        <v>3018</v>
      </c>
      <c r="N395" s="1" t="s">
        <v>3027</v>
      </c>
      <c r="O395" s="1">
        <v>1</v>
      </c>
      <c r="P395" s="1" t="s">
        <v>3021</v>
      </c>
      <c r="Q395" s="1">
        <v>2010</v>
      </c>
      <c r="R395" s="1" t="s">
        <v>3022</v>
      </c>
      <c r="S395" s="1" t="s">
        <v>27</v>
      </c>
      <c r="T395" s="6">
        <v>1</v>
      </c>
      <c r="U395" s="1">
        <v>65.599999999999994</v>
      </c>
      <c r="V395" s="1">
        <v>4.9880000000000004</v>
      </c>
      <c r="Y395" s="1">
        <v>0.762609014658572</v>
      </c>
      <c r="Z395" s="1">
        <v>0.82230506144958004</v>
      </c>
      <c r="AA395" s="1">
        <v>2.5296253403261</v>
      </c>
      <c r="AB395" s="1">
        <v>0.39626458356574601</v>
      </c>
      <c r="AD395" s="1">
        <v>0.90433119486768299</v>
      </c>
      <c r="AF395" s="1">
        <v>0.232034022562216</v>
      </c>
      <c r="AG395" s="1">
        <v>0.847387764532749</v>
      </c>
      <c r="AW395" s="1">
        <v>7.3774737474435303E-2</v>
      </c>
      <c r="AY395" s="1">
        <v>1.88421102390539E-2</v>
      </c>
      <c r="BA395" s="1">
        <v>0.39642186159933102</v>
      </c>
      <c r="BD395" s="1">
        <v>1.5340189394210901E-2</v>
      </c>
      <c r="BG395" s="1">
        <v>0.14427769399079399</v>
      </c>
      <c r="BK395" s="1">
        <v>0.11395242196074699</v>
      </c>
      <c r="BS395" s="1">
        <v>0.25383428522433199</v>
      </c>
      <c r="CA395" s="1">
        <v>2.6087522592012202E-2</v>
      </c>
      <c r="CF395" s="1">
        <v>9.9223506225094293E-3</v>
      </c>
      <c r="CQ395" s="1">
        <v>5.60642105155266E-3</v>
      </c>
      <c r="CZ395" s="1">
        <v>2.63361350995839E-2</v>
      </c>
      <c r="DF395" s="1">
        <v>0.50051834685958996</v>
      </c>
      <c r="DN395" s="1">
        <v>0.46011410711787798</v>
      </c>
      <c r="DT395" s="1">
        <v>8.4887588864815802E-2</v>
      </c>
      <c r="DZ395" s="1">
        <v>1.3522740365742301</v>
      </c>
      <c r="ED395" s="1">
        <v>0.27516078480659401</v>
      </c>
      <c r="EH395" s="1">
        <v>3.4338620107226797E-2</v>
      </c>
      <c r="EK395" s="1">
        <v>1.4522098226975399E-2</v>
      </c>
      <c r="EP395" s="1">
        <v>9.7929516656907994E-2</v>
      </c>
      <c r="EX395" s="1">
        <v>1.2703185516485501E-2</v>
      </c>
      <c r="FE395" s="1">
        <v>8.3907337765671705E-2</v>
      </c>
      <c r="FM395" s="1">
        <v>0.113788064689318</v>
      </c>
    </row>
    <row r="396" spans="1:169" x14ac:dyDescent="0.2">
      <c r="A396" s="1" t="s">
        <v>3028</v>
      </c>
      <c r="B396" s="1" t="s">
        <v>55</v>
      </c>
      <c r="C396" s="1" t="s">
        <v>3015</v>
      </c>
      <c r="E396" s="1">
        <v>36</v>
      </c>
      <c r="F396" s="1" t="s">
        <v>3016</v>
      </c>
      <c r="H396" s="1" t="s">
        <v>3024</v>
      </c>
      <c r="I396" s="1" t="s">
        <v>11</v>
      </c>
      <c r="J396" s="1" t="s">
        <v>3018</v>
      </c>
      <c r="K396" s="1" t="s">
        <v>3019</v>
      </c>
      <c r="L396" s="1" t="s">
        <v>3018</v>
      </c>
      <c r="N396" s="1" t="s">
        <v>3029</v>
      </c>
      <c r="O396" s="1">
        <v>1</v>
      </c>
      <c r="P396" s="1" t="s">
        <v>3021</v>
      </c>
      <c r="Q396" s="1">
        <v>2010</v>
      </c>
      <c r="R396" s="1" t="s">
        <v>3022</v>
      </c>
      <c r="S396" s="1" t="s">
        <v>27</v>
      </c>
      <c r="T396" s="6">
        <v>1</v>
      </c>
      <c r="U396" s="1">
        <v>60.7</v>
      </c>
      <c r="V396" s="1">
        <v>6.4451999999999998</v>
      </c>
      <c r="Y396" s="1">
        <v>0.64583325043251105</v>
      </c>
      <c r="Z396" s="1">
        <v>1.45052626462905</v>
      </c>
      <c r="AA396" s="1">
        <v>3.2275964841478699</v>
      </c>
      <c r="AB396" s="1">
        <v>0.54641560079056395</v>
      </c>
      <c r="AD396" s="1">
        <v>0.91081294606839203</v>
      </c>
      <c r="AF396" s="1">
        <v>0.30179067392542003</v>
      </c>
      <c r="AG396" s="1">
        <v>1.35559135236262</v>
      </c>
      <c r="AW396" s="1">
        <v>2.67160508130189E-2</v>
      </c>
      <c r="AY396" s="1">
        <v>5.2446131556810596E-3</v>
      </c>
      <c r="BA396" s="1">
        <v>0.198724450999859</v>
      </c>
      <c r="BD396" s="1">
        <v>3.8093937222538801E-2</v>
      </c>
      <c r="BG396" s="1">
        <v>8.8123242548929101E-2</v>
      </c>
      <c r="BK396" s="1">
        <v>0.288930955692485</v>
      </c>
      <c r="BS396" s="1">
        <v>0.19039980101519699</v>
      </c>
      <c r="CA396" s="1">
        <v>3.03807778340127E-2</v>
      </c>
      <c r="CF396" s="1">
        <v>1.23027410776054E-2</v>
      </c>
      <c r="CQ396" s="1">
        <v>6.3427629663739299E-2</v>
      </c>
      <c r="CZ396" s="1">
        <v>3.2439745465313197E-2</v>
      </c>
      <c r="DF396" s="1">
        <v>1.1215755695731899</v>
      </c>
      <c r="DN396" s="1">
        <v>0.55539198487193797</v>
      </c>
      <c r="DT396" s="1">
        <v>2.5944539620948E-2</v>
      </c>
      <c r="DZ396" s="1">
        <v>1.3455633588721201</v>
      </c>
      <c r="ED396" s="1">
        <v>0.74124759616534597</v>
      </c>
      <c r="EH396" s="1">
        <v>6.8079747549628006E-2</v>
      </c>
      <c r="EK396" s="1">
        <v>2.00423669525252E-2</v>
      </c>
      <c r="EP396" s="1">
        <v>0.22465109898770899</v>
      </c>
      <c r="EX396" s="1">
        <v>1.29648647518613E-2</v>
      </c>
      <c r="FE396" s="1">
        <v>0.116649828425532</v>
      </c>
      <c r="FM396" s="1">
        <v>0.11706109795026</v>
      </c>
    </row>
    <row r="397" spans="1:169" x14ac:dyDescent="0.2">
      <c r="A397" s="1" t="s">
        <v>3030</v>
      </c>
      <c r="B397" s="1" t="s">
        <v>55</v>
      </c>
      <c r="C397" s="1" t="s">
        <v>3015</v>
      </c>
      <c r="E397" s="1">
        <v>36</v>
      </c>
      <c r="F397" s="1" t="s">
        <v>3016</v>
      </c>
      <c r="H397" s="1" t="s">
        <v>3031</v>
      </c>
      <c r="I397" s="1" t="s">
        <v>11</v>
      </c>
      <c r="J397" s="1" t="s">
        <v>3018</v>
      </c>
      <c r="K397" s="1" t="s">
        <v>3019</v>
      </c>
      <c r="L397" s="1" t="s">
        <v>3018</v>
      </c>
      <c r="N397" s="1" t="s">
        <v>3032</v>
      </c>
      <c r="O397" s="1">
        <v>1</v>
      </c>
      <c r="P397" s="1" t="s">
        <v>3021</v>
      </c>
      <c r="Q397" s="1">
        <v>2010</v>
      </c>
      <c r="R397" s="1" t="s">
        <v>3022</v>
      </c>
      <c r="S397" s="1" t="s">
        <v>27</v>
      </c>
      <c r="T397" s="6">
        <v>1</v>
      </c>
      <c r="U397" s="1">
        <v>57.7</v>
      </c>
      <c r="V397" s="1">
        <v>13.536</v>
      </c>
      <c r="Y397" s="1">
        <v>1.44890429616807</v>
      </c>
      <c r="Z397" s="1">
        <v>1.9948258863564601</v>
      </c>
      <c r="AA397" s="1">
        <v>8.7065112793205106</v>
      </c>
      <c r="AB397" s="1">
        <v>0.33584653815495502</v>
      </c>
      <c r="AD397" s="1">
        <v>0.92243557919621799</v>
      </c>
      <c r="AF397" s="1">
        <v>2.8079213083230199</v>
      </c>
      <c r="AG397" s="1">
        <v>3.67038449914739</v>
      </c>
      <c r="AW397" s="1">
        <v>7.1662797179273596E-2</v>
      </c>
      <c r="AY397" s="1">
        <v>1.9835459531825899E-2</v>
      </c>
      <c r="BA397" s="1">
        <v>0.67642962786873595</v>
      </c>
      <c r="BD397" s="1">
        <v>2.7429413339806599E-2</v>
      </c>
      <c r="BG397" s="1">
        <v>0.32245584151243201</v>
      </c>
      <c r="BI397" s="1">
        <v>5.0204927326050801E-2</v>
      </c>
      <c r="BK397" s="1">
        <v>0.28088622940995001</v>
      </c>
      <c r="BS397" s="1">
        <v>0.203764218768097</v>
      </c>
      <c r="BV397" s="1">
        <v>5.5761853297009598E-2</v>
      </c>
      <c r="CA397" s="1">
        <v>5.9660668543883001E-2</v>
      </c>
      <c r="CQ397" s="1">
        <v>0.59347122826237197</v>
      </c>
      <c r="CZ397" s="1">
        <v>5.0191025912910803E-2</v>
      </c>
      <c r="DF397" s="1">
        <v>1.0319768915721801</v>
      </c>
      <c r="DN397" s="1">
        <v>1.5674854940620699</v>
      </c>
      <c r="DT397" s="1">
        <v>5.3940265631914799E-2</v>
      </c>
      <c r="DY397" s="1">
        <v>0.20647400376069799</v>
      </c>
      <c r="DZ397" s="1">
        <v>1.85290596232993</v>
      </c>
      <c r="ED397" s="1">
        <v>1.72926301856194</v>
      </c>
      <c r="EH397" s="1">
        <v>2.6007616373029001</v>
      </c>
      <c r="EP397" s="1">
        <v>0.168825505759472</v>
      </c>
      <c r="EX397" s="1">
        <v>0.31969572089146597</v>
      </c>
      <c r="FE397" s="1">
        <v>0.105280886509317</v>
      </c>
      <c r="FM397" s="1">
        <v>0.10187878451080799</v>
      </c>
    </row>
    <row r="398" spans="1:169" x14ac:dyDescent="0.2">
      <c r="A398" s="1" t="s">
        <v>3033</v>
      </c>
      <c r="B398" s="1" t="s">
        <v>55</v>
      </c>
      <c r="C398" s="1" t="s">
        <v>3015</v>
      </c>
      <c r="E398" s="1">
        <v>36</v>
      </c>
      <c r="F398" s="1" t="s">
        <v>3016</v>
      </c>
      <c r="H398" s="1" t="s">
        <v>3031</v>
      </c>
      <c r="I398" s="1" t="s">
        <v>11</v>
      </c>
      <c r="J398" s="1" t="s">
        <v>3018</v>
      </c>
      <c r="K398" s="1" t="s">
        <v>3019</v>
      </c>
      <c r="L398" s="1" t="s">
        <v>3018</v>
      </c>
      <c r="N398" s="1" t="s">
        <v>3034</v>
      </c>
      <c r="O398" s="1">
        <v>1</v>
      </c>
      <c r="P398" s="1" t="s">
        <v>3021</v>
      </c>
      <c r="Q398" s="1">
        <v>2010</v>
      </c>
      <c r="R398" s="1" t="s">
        <v>3022</v>
      </c>
      <c r="S398" s="1" t="s">
        <v>27</v>
      </c>
      <c r="T398" s="6">
        <v>1</v>
      </c>
      <c r="U398" s="1">
        <v>54.6</v>
      </c>
      <c r="V398" s="1">
        <v>16.571000000000002</v>
      </c>
      <c r="Y398" s="1">
        <v>1.66775577405112</v>
      </c>
      <c r="Z398" s="1">
        <v>1.86813649252069</v>
      </c>
      <c r="AA398" s="1">
        <v>11.319458105108</v>
      </c>
      <c r="AB398" s="1">
        <v>0.46239262832019301</v>
      </c>
      <c r="AD398" s="1">
        <v>0.92437046647758103</v>
      </c>
      <c r="AF398" s="1">
        <v>3.8043369169243402</v>
      </c>
      <c r="AG398" s="1">
        <v>5.0620547943659799</v>
      </c>
      <c r="AW398" s="1">
        <v>8.4921864783070997E-2</v>
      </c>
      <c r="AY398" s="1">
        <v>7.6077813257657096E-3</v>
      </c>
      <c r="BA398" s="1">
        <v>0.94466995708201396</v>
      </c>
      <c r="BD398" s="1">
        <v>3.3665281633384801E-2</v>
      </c>
      <c r="BG398" s="1">
        <v>0.37582213921958102</v>
      </c>
      <c r="BK398" s="1">
        <v>0.221068750007306</v>
      </c>
      <c r="BS398" s="1">
        <v>0.33193559578853399</v>
      </c>
      <c r="BV398" s="1">
        <v>7.9084935061125794E-2</v>
      </c>
      <c r="CA398" s="1">
        <v>2.4408022440288502E-2</v>
      </c>
      <c r="CQ398" s="1">
        <v>0.63025110277183205</v>
      </c>
      <c r="CZ398" s="1">
        <v>8.9322281623246902E-2</v>
      </c>
      <c r="DF398" s="1">
        <v>0.71313455483566401</v>
      </c>
      <c r="DN398" s="1">
        <v>2.0311472814649401</v>
      </c>
      <c r="DT398" s="1">
        <v>8.4678478830239198E-2</v>
      </c>
      <c r="DY398" s="1">
        <v>0.27195680606501199</v>
      </c>
      <c r="DZ398" s="1">
        <v>2.0348460353978699</v>
      </c>
      <c r="ED398" s="1">
        <v>2.3476631264839098</v>
      </c>
      <c r="EH398" s="1">
        <v>3.6379583957394299</v>
      </c>
      <c r="EP398" s="1">
        <v>0.14626355235478899</v>
      </c>
      <c r="EX398" s="1">
        <v>0.59856590758688599</v>
      </c>
      <c r="FE398" s="1">
        <v>9.6911770889161003E-2</v>
      </c>
      <c r="FM398" s="1">
        <v>6.9466750295746005E-2</v>
      </c>
    </row>
    <row r="399" spans="1:169" x14ac:dyDescent="0.2">
      <c r="A399" s="1" t="s">
        <v>3035</v>
      </c>
      <c r="B399" s="1" t="s">
        <v>55</v>
      </c>
      <c r="C399" s="1" t="s">
        <v>3015</v>
      </c>
      <c r="E399" s="1">
        <v>36</v>
      </c>
      <c r="F399" s="1" t="s">
        <v>3016</v>
      </c>
      <c r="H399" s="1" t="s">
        <v>3031</v>
      </c>
      <c r="I399" s="1" t="s">
        <v>11</v>
      </c>
      <c r="J399" s="1" t="s">
        <v>3018</v>
      </c>
      <c r="K399" s="1" t="s">
        <v>3019</v>
      </c>
      <c r="L399" s="1" t="s">
        <v>3018</v>
      </c>
      <c r="N399" s="1" t="s">
        <v>3036</v>
      </c>
      <c r="O399" s="1">
        <v>1</v>
      </c>
      <c r="P399" s="1" t="s">
        <v>3021</v>
      </c>
      <c r="Q399" s="1">
        <v>2010</v>
      </c>
      <c r="R399" s="1" t="s">
        <v>3022</v>
      </c>
      <c r="S399" s="1" t="s">
        <v>27</v>
      </c>
      <c r="T399" s="6">
        <v>1</v>
      </c>
      <c r="U399" s="1">
        <v>45</v>
      </c>
      <c r="V399" s="1">
        <v>23.594999999999999</v>
      </c>
      <c r="Y399" s="1">
        <v>1.0203921482581</v>
      </c>
      <c r="Z399" s="1">
        <v>2.2914528207551501</v>
      </c>
      <c r="AA399" s="1">
        <v>17.825492207556199</v>
      </c>
      <c r="AB399" s="1">
        <v>0.73379782343051103</v>
      </c>
      <c r="AD399" s="1">
        <v>0.92693939393939395</v>
      </c>
      <c r="AF399" s="1">
        <v>6.32659670680804</v>
      </c>
      <c r="AG399" s="1">
        <v>8.5745025299531097</v>
      </c>
      <c r="AW399" s="1">
        <v>4.5454113361672502E-2</v>
      </c>
      <c r="AY399" s="1">
        <v>1.30305176202341E-2</v>
      </c>
      <c r="BA399" s="1">
        <v>0.61209407501053403</v>
      </c>
      <c r="BD399" s="1">
        <v>1.52890327873607E-2</v>
      </c>
      <c r="BG399" s="1">
        <v>0.111662887167662</v>
      </c>
      <c r="BK399" s="1">
        <v>0.22286152231063699</v>
      </c>
      <c r="BS399" s="1">
        <v>0.18172362831342101</v>
      </c>
      <c r="BV399" s="1">
        <v>7.3806011504056898E-2</v>
      </c>
      <c r="CA399" s="1">
        <v>3.9192910627992399E-2</v>
      </c>
      <c r="CQ399" s="1">
        <v>0.90176091803537906</v>
      </c>
      <c r="CZ399" s="1">
        <v>5.2755222251257297E-2</v>
      </c>
      <c r="DF399" s="1">
        <v>1.0422141300230401</v>
      </c>
      <c r="DN399" s="1">
        <v>3.3060727255503499</v>
      </c>
      <c r="DT399" s="1">
        <v>8.5703264745149499E-2</v>
      </c>
      <c r="DY399" s="1">
        <v>0.35729314143518398</v>
      </c>
      <c r="DZ399" s="1">
        <v>2.4018272225654602</v>
      </c>
      <c r="ED399" s="1">
        <v>4.3766972178056296</v>
      </c>
      <c r="EH399" s="1">
        <v>6.1286884579167298</v>
      </c>
      <c r="EP399" s="1">
        <v>0.165272606794449</v>
      </c>
      <c r="EX399" s="1">
        <v>0.80602932185197995</v>
      </c>
      <c r="FE399" s="1">
        <v>0.111976930132434</v>
      </c>
      <c r="FM399" s="1">
        <v>8.5931318758868697E-2</v>
      </c>
    </row>
    <row r="400" spans="1:169" x14ac:dyDescent="0.2">
      <c r="A400" s="1" t="s">
        <v>3037</v>
      </c>
      <c r="B400" s="1" t="s">
        <v>55</v>
      </c>
      <c r="C400" s="1" t="s">
        <v>3015</v>
      </c>
      <c r="E400" s="1">
        <v>36</v>
      </c>
      <c r="F400" s="1" t="s">
        <v>3016</v>
      </c>
      <c r="H400" s="1" t="s">
        <v>3038</v>
      </c>
      <c r="I400" s="1" t="s">
        <v>11</v>
      </c>
      <c r="J400" s="1" t="s">
        <v>3018</v>
      </c>
      <c r="K400" s="1" t="s">
        <v>3019</v>
      </c>
      <c r="L400" s="1" t="s">
        <v>3018</v>
      </c>
      <c r="N400" s="1" t="s">
        <v>3039</v>
      </c>
      <c r="O400" s="1">
        <v>1</v>
      </c>
      <c r="P400" s="1" t="s">
        <v>3021</v>
      </c>
      <c r="Q400" s="1">
        <v>2010</v>
      </c>
      <c r="R400" s="1" t="s">
        <v>3022</v>
      </c>
      <c r="S400" s="1" t="s">
        <v>27</v>
      </c>
      <c r="T400" s="6">
        <v>1</v>
      </c>
      <c r="U400" s="1">
        <v>64</v>
      </c>
      <c r="V400" s="1">
        <v>4.8959999999999999</v>
      </c>
      <c r="Y400" s="1">
        <v>0.63342352853335004</v>
      </c>
      <c r="Z400" s="1">
        <v>0.52454593427408402</v>
      </c>
      <c r="AA400" s="1">
        <v>3.0703943195227201</v>
      </c>
      <c r="AB400" s="1">
        <v>0.19660421766984201</v>
      </c>
      <c r="AD400" s="1">
        <v>0.90379248366013099</v>
      </c>
      <c r="AF400" s="1">
        <v>0.83323710754274205</v>
      </c>
      <c r="AG400" s="1">
        <v>1.1741100697401901</v>
      </c>
      <c r="AW400" s="1">
        <v>2.3679539049817601E-2</v>
      </c>
      <c r="AY400" s="1">
        <v>4.8398142158355504E-3</v>
      </c>
      <c r="BA400" s="1">
        <v>0.38084498371137099</v>
      </c>
      <c r="BD400" s="1">
        <v>9.7348719000222503E-3</v>
      </c>
      <c r="BG400" s="1">
        <v>0.14682237966947001</v>
      </c>
      <c r="BK400" s="1">
        <v>6.7501939986833903E-2</v>
      </c>
      <c r="BS400" s="1">
        <v>6.2236626791326501E-2</v>
      </c>
      <c r="CQ400" s="1">
        <v>0.34365406382371599</v>
      </c>
      <c r="CZ400" s="1">
        <v>2.1375734219607399E-2</v>
      </c>
      <c r="DF400" s="1">
        <v>9.7279509439434406E-2</v>
      </c>
      <c r="DN400" s="1">
        <v>0.62590471535204895</v>
      </c>
      <c r="DT400" s="1">
        <v>8.1026995466843096E-2</v>
      </c>
      <c r="DY400" s="1">
        <v>2.8596654432118399E-2</v>
      </c>
      <c r="EB400" s="1">
        <v>1.02519856143768</v>
      </c>
      <c r="ED400" s="1">
        <v>0.43647686874053898</v>
      </c>
      <c r="EH400" s="1">
        <v>0.790089600979067</v>
      </c>
      <c r="ES400" s="1">
        <v>9.2519263699963102E-3</v>
      </c>
      <c r="EX400" s="1">
        <v>3.0701490180759201E-2</v>
      </c>
      <c r="FE400" s="1">
        <v>4.31475065636742E-2</v>
      </c>
    </row>
    <row r="401" spans="1:169" x14ac:dyDescent="0.2">
      <c r="A401" s="1" t="s">
        <v>3040</v>
      </c>
      <c r="B401" s="1" t="s">
        <v>55</v>
      </c>
      <c r="C401" s="1" t="s">
        <v>3015</v>
      </c>
      <c r="E401" s="1">
        <v>36</v>
      </c>
      <c r="F401" s="1" t="s">
        <v>3016</v>
      </c>
      <c r="H401" s="1" t="s">
        <v>3038</v>
      </c>
      <c r="I401" s="1" t="s">
        <v>11</v>
      </c>
      <c r="J401" s="1" t="s">
        <v>3018</v>
      </c>
      <c r="K401" s="1" t="s">
        <v>3019</v>
      </c>
      <c r="L401" s="1" t="s">
        <v>3018</v>
      </c>
      <c r="N401" s="1" t="s">
        <v>3041</v>
      </c>
      <c r="O401" s="1">
        <v>1</v>
      </c>
      <c r="P401" s="1" t="s">
        <v>3021</v>
      </c>
      <c r="Q401" s="1">
        <v>2010</v>
      </c>
      <c r="R401" s="1" t="s">
        <v>3022</v>
      </c>
      <c r="S401" s="1" t="s">
        <v>27</v>
      </c>
      <c r="T401" s="6">
        <v>1</v>
      </c>
      <c r="U401" s="1">
        <v>60.8</v>
      </c>
      <c r="V401" s="1">
        <v>9.6432000000000002</v>
      </c>
      <c r="Y401" s="1">
        <v>0.87285596554490696</v>
      </c>
      <c r="Z401" s="1">
        <v>1.16677374935036</v>
      </c>
      <c r="AA401" s="1">
        <v>5.7677622670169502</v>
      </c>
      <c r="AB401" s="1">
        <v>1.0467136180877901</v>
      </c>
      <c r="AD401" s="1">
        <v>0.91817089762734405</v>
      </c>
      <c r="AF401" s="1">
        <v>1.7759874389432799</v>
      </c>
      <c r="AG401" s="1">
        <v>2.9731654889401602</v>
      </c>
      <c r="AW401" s="1">
        <v>2.45546145728196E-2</v>
      </c>
      <c r="AY401" s="1">
        <v>6.1592758039386601E-3</v>
      </c>
      <c r="BA401" s="1">
        <v>0.46774474766047403</v>
      </c>
      <c r="BD401" s="1">
        <v>1.50436107471278E-2</v>
      </c>
      <c r="BG401" s="1">
        <v>0.23330047305043899</v>
      </c>
      <c r="BK401" s="1">
        <v>0.12605324371010901</v>
      </c>
      <c r="BS401" s="1">
        <v>4.3825139971632898E-2</v>
      </c>
      <c r="CQ401" s="1">
        <v>0.84953425739301203</v>
      </c>
      <c r="CZ401" s="1">
        <v>0.138040685607385</v>
      </c>
      <c r="DF401" s="1">
        <v>0.13537366637833001</v>
      </c>
      <c r="DN401" s="1">
        <v>1.3270611427994901</v>
      </c>
      <c r="DT401" s="1">
        <v>0.15580880687102699</v>
      </c>
      <c r="DY401" s="1">
        <v>0.17067276583035701</v>
      </c>
      <c r="EB401" s="1">
        <v>0.82238565714245204</v>
      </c>
      <c r="ED401" s="1">
        <v>1.336355329519</v>
      </c>
      <c r="EH401" s="1">
        <v>1.7528586484009201</v>
      </c>
      <c r="ES401" s="1">
        <v>2.5550916160702999E-2</v>
      </c>
      <c r="EX401" s="1">
        <v>0.15394020975063799</v>
      </c>
      <c r="FE401" s="1">
        <v>2.3128790542356999E-2</v>
      </c>
    </row>
    <row r="402" spans="1:169" x14ac:dyDescent="0.2">
      <c r="A402" s="1" t="s">
        <v>3042</v>
      </c>
      <c r="B402" s="1" t="s">
        <v>55</v>
      </c>
      <c r="C402" s="1" t="s">
        <v>3015</v>
      </c>
      <c r="E402" s="1">
        <v>36</v>
      </c>
      <c r="F402" s="1" t="s">
        <v>3016</v>
      </c>
      <c r="H402" s="1" t="s">
        <v>3038</v>
      </c>
      <c r="I402" s="1" t="s">
        <v>11</v>
      </c>
      <c r="J402" s="1" t="s">
        <v>3018</v>
      </c>
      <c r="K402" s="1" t="s">
        <v>3019</v>
      </c>
      <c r="L402" s="1" t="s">
        <v>3018</v>
      </c>
      <c r="N402" s="1" t="s">
        <v>3043</v>
      </c>
      <c r="O402" s="1">
        <v>1</v>
      </c>
      <c r="P402" s="1" t="s">
        <v>3021</v>
      </c>
      <c r="Q402" s="1">
        <v>2010</v>
      </c>
      <c r="R402" s="1" t="s">
        <v>3022</v>
      </c>
      <c r="S402" s="1" t="s">
        <v>27</v>
      </c>
      <c r="T402" s="6">
        <v>1</v>
      </c>
      <c r="U402" s="1">
        <v>58.8</v>
      </c>
      <c r="V402" s="1">
        <v>11.000400000000001</v>
      </c>
      <c r="Y402" s="1">
        <v>0.95438041081015201</v>
      </c>
      <c r="Z402" s="1">
        <v>1.45900264401184</v>
      </c>
      <c r="AA402" s="1">
        <v>6.6080734968351003</v>
      </c>
      <c r="AB402" s="1">
        <v>1.09891664834291</v>
      </c>
      <c r="AD402" s="1">
        <v>0.92000047271008301</v>
      </c>
      <c r="AF402" s="1">
        <v>1.07779641331863</v>
      </c>
      <c r="AG402" s="1">
        <v>4.0780966972170098</v>
      </c>
      <c r="AW402" s="1">
        <v>2.00295689746539E-2</v>
      </c>
      <c r="AY402" s="1">
        <v>4.01937124064546E-3</v>
      </c>
      <c r="BA402" s="1">
        <v>0.51904713320061202</v>
      </c>
      <c r="BD402" s="1">
        <v>1.31375092931719E-2</v>
      </c>
      <c r="BG402" s="1">
        <v>0.26440331507766401</v>
      </c>
      <c r="BK402" s="1">
        <v>0.13374351302340501</v>
      </c>
      <c r="BS402" s="1">
        <v>4.6044488938395599E-2</v>
      </c>
      <c r="CQ402" s="1">
        <v>0.94485148263270102</v>
      </c>
      <c r="CZ402" s="1">
        <v>0.42817767840879201</v>
      </c>
      <c r="DF402" s="1">
        <v>3.9928994031950701E-2</v>
      </c>
      <c r="DN402" s="1">
        <v>0.61551583415561295</v>
      </c>
      <c r="DT402" s="1">
        <v>0.89271942923082204</v>
      </c>
      <c r="DY402" s="1">
        <v>0.41941040342868202</v>
      </c>
      <c r="EB402" s="1">
        <v>1.0096278793042599</v>
      </c>
      <c r="ED402" s="1">
        <v>1.4967707937072801</v>
      </c>
      <c r="EH402" s="1">
        <v>1.07779641331863</v>
      </c>
      <c r="ES402" s="1">
        <v>2.3142103566521501E-2</v>
      </c>
      <c r="EX402" s="1">
        <v>1.07309064012329</v>
      </c>
    </row>
    <row r="403" spans="1:169" x14ac:dyDescent="0.2">
      <c r="A403" s="1" t="s">
        <v>3044</v>
      </c>
      <c r="B403" s="1" t="s">
        <v>55</v>
      </c>
      <c r="C403" s="1" t="s">
        <v>3015</v>
      </c>
      <c r="E403" s="1">
        <v>36</v>
      </c>
      <c r="F403" s="1" t="s">
        <v>3016</v>
      </c>
      <c r="H403" s="1" t="s">
        <v>3045</v>
      </c>
      <c r="I403" s="1" t="s">
        <v>11</v>
      </c>
      <c r="J403" s="1" t="s">
        <v>3018</v>
      </c>
      <c r="K403" s="1" t="s">
        <v>3019</v>
      </c>
      <c r="L403" s="1" t="s">
        <v>3018</v>
      </c>
      <c r="N403" s="1" t="s">
        <v>3046</v>
      </c>
      <c r="O403" s="1">
        <v>1</v>
      </c>
      <c r="P403" s="1" t="s">
        <v>3021</v>
      </c>
      <c r="Q403" s="1">
        <v>2010</v>
      </c>
      <c r="R403" s="1" t="s">
        <v>3022</v>
      </c>
      <c r="S403" s="1" t="s">
        <v>27</v>
      </c>
      <c r="T403" s="6">
        <v>1</v>
      </c>
      <c r="U403" s="1">
        <v>60.1</v>
      </c>
      <c r="V403" s="1">
        <v>7.4214000000000002</v>
      </c>
      <c r="Y403" s="1">
        <v>1.04659850696734</v>
      </c>
      <c r="Z403" s="1">
        <v>1.0780745423495901</v>
      </c>
      <c r="AA403" s="1">
        <v>3.8554631260178001</v>
      </c>
      <c r="AB403" s="1">
        <v>0.80103002466526396</v>
      </c>
      <c r="AD403" s="1">
        <v>0.91373139838844397</v>
      </c>
      <c r="AF403" s="1">
        <v>0.358239434628631</v>
      </c>
      <c r="AG403" s="1">
        <v>1.4997037662695401</v>
      </c>
      <c r="AW403" s="1">
        <v>6.9913311056367902E-2</v>
      </c>
      <c r="AY403" s="1">
        <v>2.0235051191968799E-2</v>
      </c>
      <c r="BA403" s="1">
        <v>0.50130576492160395</v>
      </c>
      <c r="BD403" s="1">
        <v>3.6630965614282397E-2</v>
      </c>
      <c r="BG403" s="1">
        <v>0.20264111949991601</v>
      </c>
      <c r="BK403" s="1">
        <v>0.21587229468320601</v>
      </c>
      <c r="BS403" s="1">
        <v>0.24860306154371101</v>
      </c>
      <c r="BV403" s="1">
        <v>7.3487242721889098E-2</v>
      </c>
      <c r="CA403" s="1">
        <v>3.2460027597089797E-2</v>
      </c>
      <c r="CQ403" s="1">
        <v>0.18150061035137999</v>
      </c>
      <c r="CZ403" s="1">
        <v>3.1403979286959101E-2</v>
      </c>
      <c r="DF403" s="1">
        <v>0.51061962084856305</v>
      </c>
      <c r="DN403" s="1">
        <v>0.83924262072973199</v>
      </c>
      <c r="DT403" s="1">
        <v>4.2997771137153903E-2</v>
      </c>
      <c r="DY403" s="1">
        <v>6.7813708471897494E-2</v>
      </c>
      <c r="DZ403" s="1">
        <v>1.8013805523655</v>
      </c>
      <c r="ED403" s="1">
        <v>0.46872826219159303</v>
      </c>
      <c r="EH403" s="1">
        <v>0.18817062119865399</v>
      </c>
      <c r="EK403" s="1">
        <v>0.11872206520491101</v>
      </c>
      <c r="EP403" s="1">
        <v>0.12832566428223399</v>
      </c>
      <c r="EX403" s="1">
        <v>3.00130470061481E-2</v>
      </c>
      <c r="FE403" s="1">
        <v>9.2740604974108895E-2</v>
      </c>
      <c r="FM403" s="1">
        <v>7.7328208455867797E-2</v>
      </c>
    </row>
    <row r="404" spans="1:169" x14ac:dyDescent="0.2">
      <c r="A404" s="1" t="s">
        <v>3047</v>
      </c>
      <c r="B404" s="1" t="s">
        <v>55</v>
      </c>
      <c r="C404" s="1" t="s">
        <v>3015</v>
      </c>
      <c r="E404" s="1">
        <v>36</v>
      </c>
      <c r="F404" s="1" t="s">
        <v>3016</v>
      </c>
      <c r="H404" s="1" t="s">
        <v>3045</v>
      </c>
      <c r="I404" s="1" t="s">
        <v>11</v>
      </c>
      <c r="J404" s="1" t="s">
        <v>3018</v>
      </c>
      <c r="K404" s="1" t="s">
        <v>3019</v>
      </c>
      <c r="L404" s="1" t="s">
        <v>3018</v>
      </c>
      <c r="N404" s="1" t="s">
        <v>3048</v>
      </c>
      <c r="O404" s="1">
        <v>1</v>
      </c>
      <c r="P404" s="1" t="s">
        <v>3021</v>
      </c>
      <c r="Q404" s="1">
        <v>2010</v>
      </c>
      <c r="R404" s="1" t="s">
        <v>3022</v>
      </c>
      <c r="S404" s="1" t="s">
        <v>27</v>
      </c>
      <c r="T404" s="6">
        <v>1</v>
      </c>
      <c r="U404" s="1">
        <v>60</v>
      </c>
      <c r="V404" s="1">
        <v>7.8</v>
      </c>
      <c r="Y404" s="1">
        <v>0.97100081655901704</v>
      </c>
      <c r="Z404" s="1">
        <v>1.78400690821948</v>
      </c>
      <c r="AA404" s="1">
        <v>3.5562639833106702</v>
      </c>
      <c r="AB404" s="1">
        <v>0.82312829191083603</v>
      </c>
      <c r="AD404" s="1">
        <v>0.91466666666666696</v>
      </c>
      <c r="AF404" s="1">
        <v>0.28426357162014099</v>
      </c>
      <c r="AG404" s="1">
        <v>1.48203702332716</v>
      </c>
      <c r="AW404" s="1">
        <v>6.2149587475983599E-2</v>
      </c>
      <c r="AY404" s="1">
        <v>1.7715446725278802E-2</v>
      </c>
      <c r="BA404" s="1">
        <v>0.41862853962743402</v>
      </c>
      <c r="BD404" s="1">
        <v>7.8392829358526397E-3</v>
      </c>
      <c r="BG404" s="1">
        <v>0.14788042987106501</v>
      </c>
      <c r="BK404" s="1">
        <v>0.31678752992340298</v>
      </c>
      <c r="BS404" s="1">
        <v>0.26541266358072102</v>
      </c>
      <c r="BV404" s="1">
        <v>7.7204212892367396E-2</v>
      </c>
      <c r="CA404" s="1">
        <v>3.5522759748784202E-2</v>
      </c>
      <c r="CQ404" s="1">
        <v>0.10998072954293101</v>
      </c>
      <c r="CZ404" s="1">
        <v>1.5778967377370501E-2</v>
      </c>
      <c r="DF404" s="1">
        <v>1.2801075750773001</v>
      </c>
      <c r="DN404" s="1">
        <v>0.62253834318152401</v>
      </c>
      <c r="DT404" s="1">
        <v>3.2983160863591501E-2</v>
      </c>
      <c r="DY404" s="1">
        <v>3.59816729316162E-2</v>
      </c>
      <c r="DZ404" s="1">
        <v>1.54537115133737</v>
      </c>
      <c r="ED404" s="1">
        <v>0.80788123984771099</v>
      </c>
      <c r="EH404" s="1">
        <v>0.109192429060689</v>
      </c>
      <c r="EK404" s="1">
        <v>7.8850404657076906E-3</v>
      </c>
      <c r="EP404" s="1">
        <v>0.208610564094379</v>
      </c>
      <c r="EX404" s="1">
        <v>1.07492389686251E-2</v>
      </c>
      <c r="FE404" s="1">
        <v>9.8864221190834795E-2</v>
      </c>
      <c r="FM404" s="1">
        <v>7.6206921368616898E-2</v>
      </c>
    </row>
    <row r="405" spans="1:169" x14ac:dyDescent="0.2">
      <c r="A405" s="1" t="s">
        <v>3049</v>
      </c>
      <c r="B405" s="1" t="s">
        <v>55</v>
      </c>
      <c r="C405" s="1" t="s">
        <v>3015</v>
      </c>
      <c r="E405" s="1">
        <v>36</v>
      </c>
      <c r="F405" s="1" t="s">
        <v>3016</v>
      </c>
      <c r="H405" s="1" t="s">
        <v>3045</v>
      </c>
      <c r="I405" s="1" t="s">
        <v>11</v>
      </c>
      <c r="J405" s="1" t="s">
        <v>3018</v>
      </c>
      <c r="K405" s="1" t="s">
        <v>3019</v>
      </c>
      <c r="L405" s="1" t="s">
        <v>3018</v>
      </c>
      <c r="N405" s="1" t="s">
        <v>3050</v>
      </c>
      <c r="O405" s="1">
        <v>1</v>
      </c>
      <c r="P405" s="1" t="s">
        <v>3021</v>
      </c>
      <c r="Q405" s="1">
        <v>2010</v>
      </c>
      <c r="R405" s="1" t="s">
        <v>3022</v>
      </c>
      <c r="S405" s="1" t="s">
        <v>27</v>
      </c>
      <c r="T405" s="6">
        <v>1</v>
      </c>
      <c r="U405" s="1">
        <v>60.2</v>
      </c>
      <c r="V405" s="1">
        <v>7.4425999999999997</v>
      </c>
      <c r="Y405" s="1">
        <v>0.86012868453666202</v>
      </c>
      <c r="Z405" s="1">
        <v>1.7536336994452999</v>
      </c>
      <c r="AA405" s="1">
        <v>3.2276564254834601</v>
      </c>
      <c r="AB405" s="1">
        <v>0.95952699053458101</v>
      </c>
      <c r="AD405" s="1">
        <v>0.91378628436299103</v>
      </c>
      <c r="AF405" s="1">
        <v>0.22672210243517699</v>
      </c>
      <c r="AG405" s="1">
        <v>1.3480116127477499</v>
      </c>
      <c r="AW405" s="1">
        <v>4.9818312707688099E-2</v>
      </c>
      <c r="AY405" s="1">
        <v>1.2834159048888299E-2</v>
      </c>
      <c r="BA405" s="1">
        <v>0.32791449613768697</v>
      </c>
      <c r="BD405" s="1">
        <v>8.8313830659711191E-3</v>
      </c>
      <c r="BG405" s="1">
        <v>0.14777528622630101</v>
      </c>
      <c r="BK405" s="1">
        <v>0.31295504735012702</v>
      </c>
      <c r="BS405" s="1">
        <v>0.25838466583818898</v>
      </c>
      <c r="BV405" s="1">
        <v>7.5619576504519406E-2</v>
      </c>
      <c r="CA405" s="1">
        <v>3.9279541006149103E-2</v>
      </c>
      <c r="CQ405" s="1">
        <v>7.6245745387794703E-2</v>
      </c>
      <c r="CZ405" s="1">
        <v>1.6408499027109402E-2</v>
      </c>
      <c r="DF405" s="1">
        <v>1.28769567168154</v>
      </c>
      <c r="DN405" s="1">
        <v>0.34775408253581502</v>
      </c>
      <c r="DT405" s="1">
        <v>2.6656355071224599E-2</v>
      </c>
      <c r="DY405" s="1">
        <v>4.2530917651255502E-2</v>
      </c>
      <c r="DZ405" s="1">
        <v>1.4237109444115801</v>
      </c>
      <c r="ED405" s="1">
        <v>0.95310543968741002</v>
      </c>
      <c r="EH405" s="1">
        <v>6.9390974195657207E-2</v>
      </c>
      <c r="EK405" s="1">
        <v>8.8829314381384701E-3</v>
      </c>
      <c r="EP405" s="1">
        <v>0.18668084823769501</v>
      </c>
      <c r="EX405" s="1">
        <v>1.16128040151613E-2</v>
      </c>
      <c r="FE405" s="1">
        <v>8.2631787946719201E-2</v>
      </c>
      <c r="FM405" s="1">
        <v>7.4699340292800398E-2</v>
      </c>
    </row>
    <row r="406" spans="1:169" x14ac:dyDescent="0.2">
      <c r="A406" s="1" t="s">
        <v>3051</v>
      </c>
      <c r="B406" s="1" t="s">
        <v>55</v>
      </c>
      <c r="C406" s="1" t="s">
        <v>236</v>
      </c>
      <c r="E406" s="1">
        <v>23</v>
      </c>
      <c r="F406" s="1" t="s">
        <v>2834</v>
      </c>
      <c r="G406" s="1" t="s">
        <v>3052</v>
      </c>
      <c r="H406" s="1" t="s">
        <v>3053</v>
      </c>
      <c r="I406" s="1" t="s">
        <v>7</v>
      </c>
      <c r="J406" s="1" t="s">
        <v>2836</v>
      </c>
      <c r="K406" s="1" t="s">
        <v>2837</v>
      </c>
      <c r="L406" s="1" t="s">
        <v>2836</v>
      </c>
      <c r="P406" s="1" t="s">
        <v>3054</v>
      </c>
      <c r="Q406" s="1">
        <v>2008</v>
      </c>
      <c r="R406" s="1" t="s">
        <v>3055</v>
      </c>
      <c r="S406" s="1" t="s">
        <v>27</v>
      </c>
      <c r="T406" s="6">
        <v>1</v>
      </c>
      <c r="U406" s="1" t="s">
        <v>3056</v>
      </c>
      <c r="W406" s="1" t="s">
        <v>3058</v>
      </c>
      <c r="AW406" s="1" t="s">
        <v>5524</v>
      </c>
      <c r="BA406" s="1" t="s">
        <v>5525</v>
      </c>
      <c r="BG406" s="1" t="s">
        <v>5526</v>
      </c>
      <c r="CQ406" s="1" t="s">
        <v>5527</v>
      </c>
      <c r="DN406" s="1" t="s">
        <v>5528</v>
      </c>
      <c r="ED406" s="1" t="s">
        <v>5529</v>
      </c>
      <c r="EH406" s="1" t="s">
        <v>5530</v>
      </c>
      <c r="FE406" s="1">
        <v>0.41</v>
      </c>
      <c r="FJ406" s="1" t="s">
        <v>5531</v>
      </c>
    </row>
    <row r="407" spans="1:169" x14ac:dyDescent="0.2">
      <c r="A407" s="1" t="s">
        <v>3061</v>
      </c>
      <c r="B407" s="1" t="s">
        <v>55</v>
      </c>
      <c r="C407" s="1" t="s">
        <v>3062</v>
      </c>
      <c r="D407" s="1" t="s">
        <v>2</v>
      </c>
      <c r="E407" s="1">
        <v>23</v>
      </c>
      <c r="F407" s="1" t="s">
        <v>1472</v>
      </c>
      <c r="G407" s="1" t="s">
        <v>3063</v>
      </c>
      <c r="H407" s="1" t="s">
        <v>3064</v>
      </c>
      <c r="I407" s="1" t="s">
        <v>7</v>
      </c>
      <c r="J407" s="1" t="s">
        <v>3065</v>
      </c>
      <c r="K407" s="1" t="s">
        <v>1475</v>
      </c>
      <c r="L407" s="1" t="s">
        <v>1474</v>
      </c>
      <c r="P407" s="1" t="s">
        <v>3054</v>
      </c>
      <c r="Q407" s="1">
        <v>2008</v>
      </c>
      <c r="R407" s="1" t="s">
        <v>3055</v>
      </c>
      <c r="S407" s="1" t="s">
        <v>27</v>
      </c>
      <c r="T407" s="6">
        <v>1</v>
      </c>
      <c r="U407" s="1" t="s">
        <v>3066</v>
      </c>
      <c r="W407" s="1" t="s">
        <v>3068</v>
      </c>
      <c r="AW407" s="1" t="s">
        <v>5532</v>
      </c>
      <c r="BA407" s="1" t="s">
        <v>5533</v>
      </c>
      <c r="BG407" s="1" t="s">
        <v>5534</v>
      </c>
      <c r="CQ407" s="1">
        <v>12.2</v>
      </c>
      <c r="DN407" s="1" t="s">
        <v>5535</v>
      </c>
      <c r="ED407" s="1" t="s">
        <v>5536</v>
      </c>
      <c r="EH407" s="1" t="s">
        <v>5530</v>
      </c>
      <c r="FE407" s="1" t="s">
        <v>5530</v>
      </c>
      <c r="FJ407" s="1" t="s">
        <v>5537</v>
      </c>
    </row>
    <row r="408" spans="1:169" x14ac:dyDescent="0.2">
      <c r="A408" s="1" t="s">
        <v>3072</v>
      </c>
      <c r="B408" s="1" t="s">
        <v>55</v>
      </c>
      <c r="C408" s="1" t="s">
        <v>3062</v>
      </c>
      <c r="D408" s="1" t="s">
        <v>2</v>
      </c>
      <c r="E408" s="1">
        <v>12</v>
      </c>
      <c r="F408" s="1" t="s">
        <v>2516</v>
      </c>
      <c r="G408" s="1" t="s">
        <v>3073</v>
      </c>
      <c r="H408" s="1" t="s">
        <v>3074</v>
      </c>
      <c r="I408" s="1" t="s">
        <v>7</v>
      </c>
      <c r="J408" s="1" t="s">
        <v>3075</v>
      </c>
      <c r="K408" s="1" t="s">
        <v>2520</v>
      </c>
      <c r="L408" s="1" t="s">
        <v>2521</v>
      </c>
      <c r="P408" s="1" t="s">
        <v>3054</v>
      </c>
      <c r="Q408" s="1">
        <v>2008</v>
      </c>
      <c r="R408" s="1" t="s">
        <v>3055</v>
      </c>
      <c r="S408" s="1" t="s">
        <v>27</v>
      </c>
      <c r="T408" s="6">
        <v>1</v>
      </c>
      <c r="U408" s="1" t="s">
        <v>3076</v>
      </c>
      <c r="W408" s="1" t="s">
        <v>3078</v>
      </c>
      <c r="AW408" s="1" t="s">
        <v>5538</v>
      </c>
      <c r="BA408" s="1" t="s">
        <v>5535</v>
      </c>
      <c r="BG408" s="1" t="s">
        <v>5539</v>
      </c>
      <c r="CQ408" s="1">
        <v>0.1</v>
      </c>
      <c r="DN408" s="1" t="s">
        <v>5540</v>
      </c>
      <c r="ED408" s="1" t="s">
        <v>5541</v>
      </c>
      <c r="EH408" s="1" t="s">
        <v>5530</v>
      </c>
      <c r="FE408" s="1">
        <v>0.01</v>
      </c>
      <c r="FJ408" s="1" t="s">
        <v>5542</v>
      </c>
    </row>
    <row r="409" spans="1:169" x14ac:dyDescent="0.2">
      <c r="A409" s="1" t="s">
        <v>3082</v>
      </c>
      <c r="B409" s="1" t="s">
        <v>55</v>
      </c>
      <c r="C409" s="1" t="s">
        <v>3062</v>
      </c>
      <c r="D409" s="1" t="s">
        <v>2</v>
      </c>
      <c r="E409" s="1">
        <v>13</v>
      </c>
      <c r="F409" s="1" t="s">
        <v>3083</v>
      </c>
      <c r="G409" s="1" t="s">
        <v>3084</v>
      </c>
      <c r="H409" s="1" t="s">
        <v>3085</v>
      </c>
      <c r="I409" s="1" t="s">
        <v>7</v>
      </c>
      <c r="J409" s="1" t="s">
        <v>3086</v>
      </c>
      <c r="K409" s="1" t="s">
        <v>3087</v>
      </c>
      <c r="L409" s="1" t="s">
        <v>3086</v>
      </c>
      <c r="P409" s="1" t="s">
        <v>3054</v>
      </c>
      <c r="Q409" s="1">
        <v>2008</v>
      </c>
      <c r="R409" s="1" t="s">
        <v>3055</v>
      </c>
      <c r="S409" s="1" t="s">
        <v>27</v>
      </c>
      <c r="T409" s="6">
        <v>1</v>
      </c>
      <c r="U409" s="1" t="s">
        <v>3088</v>
      </c>
      <c r="W409" s="1" t="s">
        <v>3090</v>
      </c>
      <c r="AW409" s="1" t="s">
        <v>5532</v>
      </c>
      <c r="BA409" s="1" t="s">
        <v>5543</v>
      </c>
      <c r="BG409" s="1" t="s">
        <v>5544</v>
      </c>
      <c r="CQ409" s="1" t="s">
        <v>5545</v>
      </c>
      <c r="DN409" s="1" t="s">
        <v>5546</v>
      </c>
      <c r="ED409" s="1" t="s">
        <v>5547</v>
      </c>
      <c r="EH409" s="1">
        <v>2E-3</v>
      </c>
      <c r="FE409" s="1">
        <v>0.01</v>
      </c>
      <c r="FJ409" s="1" t="s">
        <v>5548</v>
      </c>
    </row>
    <row r="410" spans="1:169" x14ac:dyDescent="0.2">
      <c r="A410" s="1" t="s">
        <v>3092</v>
      </c>
      <c r="B410" s="1" t="s">
        <v>55</v>
      </c>
      <c r="C410" s="1" t="s">
        <v>3093</v>
      </c>
      <c r="E410" s="1">
        <v>36</v>
      </c>
      <c r="F410" s="1" t="s">
        <v>3094</v>
      </c>
      <c r="G410" s="1" t="s">
        <v>3095</v>
      </c>
      <c r="H410" s="1" t="s">
        <v>3096</v>
      </c>
      <c r="I410" s="1" t="s">
        <v>7</v>
      </c>
      <c r="J410" s="1" t="s">
        <v>3097</v>
      </c>
      <c r="K410" s="1" t="s">
        <v>3098</v>
      </c>
      <c r="L410" s="1" t="s">
        <v>3097</v>
      </c>
      <c r="O410" s="1">
        <v>4</v>
      </c>
      <c r="Q410" s="1">
        <v>2004</v>
      </c>
      <c r="R410" s="1" t="s">
        <v>3099</v>
      </c>
      <c r="S410" s="1" t="s">
        <v>27</v>
      </c>
      <c r="T410" s="6">
        <v>1</v>
      </c>
      <c r="U410" s="1">
        <v>76.31</v>
      </c>
      <c r="V410" s="1">
        <v>4.9400000000000004</v>
      </c>
      <c r="Y410" s="1">
        <v>0.42542000000000002</v>
      </c>
      <c r="Z410" s="1">
        <v>0.38156000000000001</v>
      </c>
      <c r="AA410" s="1">
        <v>1.0504100000000001</v>
      </c>
      <c r="AF410" s="1">
        <v>1.3302499999999999</v>
      </c>
      <c r="AG410" s="1">
        <v>7.3219999999999993E-2</v>
      </c>
      <c r="EF410" s="1">
        <v>2.86E-2</v>
      </c>
      <c r="EL410" s="1">
        <v>1.6500000000000001E-2</v>
      </c>
      <c r="FE410" s="1">
        <v>0.33915000000000001</v>
      </c>
      <c r="FM410" s="1">
        <v>0.96250000000000002</v>
      </c>
    </row>
    <row r="411" spans="1:169" x14ac:dyDescent="0.2">
      <c r="A411" s="1" t="s">
        <v>3100</v>
      </c>
      <c r="B411" s="1" t="s">
        <v>55</v>
      </c>
      <c r="C411" s="1" t="s">
        <v>3093</v>
      </c>
      <c r="E411" s="1">
        <v>38</v>
      </c>
      <c r="F411" s="1" t="s">
        <v>3101</v>
      </c>
      <c r="G411" s="1" t="s">
        <v>3102</v>
      </c>
      <c r="H411" s="1" t="s">
        <v>3103</v>
      </c>
      <c r="I411" s="1" t="s">
        <v>7</v>
      </c>
      <c r="J411" s="1" t="s">
        <v>3104</v>
      </c>
      <c r="K411" s="1" t="s">
        <v>3105</v>
      </c>
      <c r="L411" s="1" t="s">
        <v>3104</v>
      </c>
      <c r="O411" s="1">
        <v>4</v>
      </c>
      <c r="Q411" s="1">
        <v>2004</v>
      </c>
      <c r="R411" s="1" t="s">
        <v>3099</v>
      </c>
      <c r="S411" s="1" t="s">
        <v>27</v>
      </c>
      <c r="T411" s="6">
        <v>1</v>
      </c>
      <c r="U411" s="1">
        <v>72.739999999999995</v>
      </c>
      <c r="V411" s="1">
        <v>1.64</v>
      </c>
      <c r="Y411" s="1">
        <v>9.9299999999999999E-2</v>
      </c>
      <c r="Z411" s="1">
        <v>6.1550000000000001E-2</v>
      </c>
      <c r="AA411" s="1">
        <v>0.16239999999999999</v>
      </c>
      <c r="AF411" s="1">
        <v>0.13905000000000001</v>
      </c>
      <c r="AG411" s="1">
        <v>5.3659999999999999E-2</v>
      </c>
      <c r="EF411" s="1">
        <v>1.75E-3</v>
      </c>
      <c r="EL411" s="1">
        <v>9.4999999999999998E-3</v>
      </c>
      <c r="FE411" s="1">
        <v>1.0659999999999999E-2</v>
      </c>
      <c r="FM411" s="1">
        <v>0.12662999999999999</v>
      </c>
    </row>
    <row r="412" spans="1:169" x14ac:dyDescent="0.2">
      <c r="A412" s="1" t="s">
        <v>3106</v>
      </c>
      <c r="B412" s="1" t="s">
        <v>55</v>
      </c>
      <c r="C412" s="1" t="s">
        <v>3093</v>
      </c>
      <c r="E412" s="1">
        <v>36</v>
      </c>
      <c r="F412" s="1" t="s">
        <v>1815</v>
      </c>
      <c r="G412" s="1" t="s">
        <v>3107</v>
      </c>
      <c r="H412" s="1" t="s">
        <v>3108</v>
      </c>
      <c r="I412" s="1" t="s">
        <v>7</v>
      </c>
      <c r="J412" s="1" t="s">
        <v>1817</v>
      </c>
      <c r="K412" s="1" t="s">
        <v>1818</v>
      </c>
      <c r="L412" s="1" t="s">
        <v>1817</v>
      </c>
      <c r="O412" s="1">
        <v>4</v>
      </c>
      <c r="Q412" s="1">
        <v>2004</v>
      </c>
      <c r="R412" s="1" t="s">
        <v>3099</v>
      </c>
      <c r="S412" s="1" t="s">
        <v>27</v>
      </c>
      <c r="T412" s="6">
        <v>1</v>
      </c>
      <c r="U412" s="1">
        <v>73.2</v>
      </c>
      <c r="V412" s="1">
        <v>1.2</v>
      </c>
      <c r="Y412" s="1">
        <v>0.11217000000000001</v>
      </c>
      <c r="Z412" s="1">
        <v>7.5300000000000006E-2</v>
      </c>
      <c r="AA412" s="1">
        <v>0.22659000000000001</v>
      </c>
      <c r="AF412" s="1">
        <v>0.17177000000000001</v>
      </c>
      <c r="AG412" s="1">
        <v>4.8009999999999997E-2</v>
      </c>
      <c r="EF412" s="1">
        <v>2.16E-3</v>
      </c>
      <c r="EL412" s="1">
        <v>2.69E-2</v>
      </c>
      <c r="FE412" s="1">
        <v>1.337E-2</v>
      </c>
      <c r="FM412" s="1">
        <v>0.15623999999999999</v>
      </c>
    </row>
    <row r="413" spans="1:169" x14ac:dyDescent="0.2">
      <c r="A413" s="1" t="s">
        <v>3109</v>
      </c>
      <c r="B413" s="1" t="s">
        <v>55</v>
      </c>
      <c r="C413" s="1" t="s">
        <v>3093</v>
      </c>
      <c r="E413" s="1">
        <v>33</v>
      </c>
      <c r="F413" s="1" t="s">
        <v>3110</v>
      </c>
      <c r="G413" s="1" t="s">
        <v>3111</v>
      </c>
      <c r="H413" s="1" t="s">
        <v>3112</v>
      </c>
      <c r="I413" s="1" t="s">
        <v>7</v>
      </c>
      <c r="J413" s="1" t="s">
        <v>3113</v>
      </c>
      <c r="K413" s="1" t="s">
        <v>3114</v>
      </c>
      <c r="L413" s="1" t="s">
        <v>3113</v>
      </c>
      <c r="O413" s="1">
        <v>4</v>
      </c>
      <c r="Q413" s="1">
        <v>2004</v>
      </c>
      <c r="R413" s="1" t="s">
        <v>3099</v>
      </c>
      <c r="S413" s="1" t="s">
        <v>27</v>
      </c>
      <c r="T413" s="6">
        <v>1</v>
      </c>
      <c r="U413" s="1">
        <v>79.8</v>
      </c>
      <c r="V413" s="1">
        <v>2.65</v>
      </c>
      <c r="Y413" s="1">
        <v>0.40455000000000002</v>
      </c>
      <c r="Z413" s="1">
        <v>0.33204</v>
      </c>
      <c r="AA413" s="1">
        <v>0.53703999999999996</v>
      </c>
      <c r="AF413" s="1">
        <v>0.38218000000000002</v>
      </c>
      <c r="AG413" s="1">
        <v>0.14149</v>
      </c>
      <c r="EF413" s="1">
        <v>1.0999999999999999E-2</v>
      </c>
      <c r="EL413" s="1">
        <v>1.03E-2</v>
      </c>
      <c r="FE413" s="1">
        <v>2.7380000000000002E-2</v>
      </c>
      <c r="FM413" s="1">
        <v>0.34379999999999999</v>
      </c>
    </row>
    <row r="414" spans="1:169" x14ac:dyDescent="0.2">
      <c r="A414" s="1" t="s">
        <v>3115</v>
      </c>
      <c r="B414" s="1" t="s">
        <v>55</v>
      </c>
      <c r="C414" s="1" t="s">
        <v>3093</v>
      </c>
      <c r="E414" s="1">
        <v>33</v>
      </c>
      <c r="F414" s="1" t="s">
        <v>3116</v>
      </c>
      <c r="G414" s="1" t="s">
        <v>3117</v>
      </c>
      <c r="H414" s="1" t="s">
        <v>3118</v>
      </c>
      <c r="I414" s="1" t="s">
        <v>7</v>
      </c>
      <c r="J414" s="1" t="s">
        <v>3119</v>
      </c>
      <c r="K414" s="1" t="s">
        <v>3120</v>
      </c>
      <c r="L414" s="1" t="s">
        <v>3119</v>
      </c>
      <c r="O414" s="1">
        <v>4</v>
      </c>
      <c r="Q414" s="1">
        <v>2004</v>
      </c>
      <c r="R414" s="1" t="s">
        <v>3099</v>
      </c>
      <c r="S414" s="1" t="s">
        <v>27</v>
      </c>
      <c r="T414" s="6">
        <v>1</v>
      </c>
      <c r="U414" s="1">
        <v>76.23</v>
      </c>
      <c r="V414" s="1">
        <v>3.13</v>
      </c>
      <c r="Y414" s="1">
        <v>0.13900000000000001</v>
      </c>
      <c r="Z414" s="1">
        <v>6.198E-2</v>
      </c>
      <c r="AA414" s="1">
        <v>0.25092999999999999</v>
      </c>
      <c r="AF414" s="1">
        <v>0.23429</v>
      </c>
      <c r="AG414" s="1">
        <v>4.215E-2</v>
      </c>
      <c r="EF414" s="1">
        <v>3.8800000000000002E-3</v>
      </c>
      <c r="EL414" s="1">
        <v>2.4799999999999999E-2</v>
      </c>
      <c r="FE414" s="1">
        <v>2.2599999999999999E-2</v>
      </c>
      <c r="FM414" s="1">
        <v>0.20780999999999999</v>
      </c>
    </row>
    <row r="415" spans="1:169" x14ac:dyDescent="0.2">
      <c r="A415" s="1" t="s">
        <v>3121</v>
      </c>
      <c r="B415" s="1" t="s">
        <v>55</v>
      </c>
      <c r="C415" s="1" t="s">
        <v>3093</v>
      </c>
      <c r="E415" s="1">
        <v>38</v>
      </c>
      <c r="F415" s="1" t="s">
        <v>3122</v>
      </c>
      <c r="G415" s="1" t="s">
        <v>3123</v>
      </c>
      <c r="H415" s="1" t="s">
        <v>3124</v>
      </c>
      <c r="I415" s="1" t="s">
        <v>7</v>
      </c>
      <c r="J415" s="1" t="s">
        <v>3125</v>
      </c>
      <c r="K415" s="1" t="s">
        <v>3126</v>
      </c>
      <c r="L415" s="1" t="s">
        <v>3125</v>
      </c>
      <c r="O415" s="1">
        <v>4</v>
      </c>
      <c r="Q415" s="1">
        <v>2004</v>
      </c>
      <c r="R415" s="1" t="s">
        <v>3099</v>
      </c>
      <c r="S415" s="1" t="s">
        <v>27</v>
      </c>
      <c r="T415" s="6">
        <v>1</v>
      </c>
      <c r="U415" s="1">
        <v>72.89</v>
      </c>
      <c r="V415" s="1">
        <v>2.37</v>
      </c>
      <c r="Y415" s="1">
        <v>0.10009</v>
      </c>
      <c r="Z415" s="1">
        <v>5.3870000000000001E-2</v>
      </c>
      <c r="AA415" s="1">
        <v>9.4270000000000007E-2</v>
      </c>
      <c r="AF415" s="1">
        <v>2.3439999999999999E-2</v>
      </c>
      <c r="AG415" s="1">
        <v>2.7199999999999998E-2</v>
      </c>
      <c r="EF415" s="1">
        <v>1.1999999999999999E-3</v>
      </c>
      <c r="EL415" s="1">
        <v>0.10009999999999999</v>
      </c>
      <c r="FE415" s="1">
        <v>1.5299999999999999E-3</v>
      </c>
      <c r="FM415" s="1">
        <v>2.0719999999999999E-2</v>
      </c>
    </row>
    <row r="416" spans="1:169" x14ac:dyDescent="0.2">
      <c r="A416" s="1" t="s">
        <v>3127</v>
      </c>
      <c r="B416" s="1" t="s">
        <v>55</v>
      </c>
      <c r="C416" s="1" t="s">
        <v>3093</v>
      </c>
      <c r="E416" s="1">
        <v>33</v>
      </c>
      <c r="F416" s="1" t="s">
        <v>3128</v>
      </c>
      <c r="G416" s="1" t="s">
        <v>3129</v>
      </c>
      <c r="H416" s="1" t="s">
        <v>3130</v>
      </c>
      <c r="I416" s="1" t="s">
        <v>7</v>
      </c>
      <c r="J416" s="1" t="s">
        <v>3131</v>
      </c>
      <c r="K416" s="1" t="s">
        <v>3132</v>
      </c>
      <c r="L416" s="1" t="s">
        <v>3131</v>
      </c>
      <c r="O416" s="1">
        <v>4</v>
      </c>
      <c r="Q416" s="1">
        <v>2004</v>
      </c>
      <c r="R416" s="1" t="s">
        <v>3099</v>
      </c>
      <c r="S416" s="1" t="s">
        <v>27</v>
      </c>
      <c r="T416" s="6">
        <v>1</v>
      </c>
      <c r="U416" s="1">
        <v>79.64</v>
      </c>
      <c r="V416" s="1">
        <v>2.82</v>
      </c>
      <c r="Y416" s="1">
        <v>0.19625999999999999</v>
      </c>
      <c r="Z416" s="1">
        <v>0.11074000000000001</v>
      </c>
      <c r="AA416" s="1">
        <v>0.31558000000000003</v>
      </c>
      <c r="AF416" s="1">
        <v>0.2301</v>
      </c>
      <c r="AG416" s="1">
        <v>3.4360000000000002E-2</v>
      </c>
      <c r="EF416" s="1">
        <v>3.1800000000000001E-3</v>
      </c>
      <c r="EL416" s="1">
        <v>7.3599999999999999E-2</v>
      </c>
      <c r="FE416" s="1">
        <v>1.6619999999999999E-2</v>
      </c>
      <c r="FM416" s="1">
        <v>0.21029999999999999</v>
      </c>
    </row>
    <row r="417" spans="1:169" x14ac:dyDescent="0.2">
      <c r="A417" s="1" t="s">
        <v>3133</v>
      </c>
      <c r="B417" s="1" t="s">
        <v>55</v>
      </c>
      <c r="C417" s="1" t="s">
        <v>3093</v>
      </c>
      <c r="E417" s="1">
        <v>37</v>
      </c>
      <c r="F417" s="1" t="s">
        <v>3134</v>
      </c>
      <c r="G417" s="1" t="s">
        <v>3135</v>
      </c>
      <c r="H417" s="1" t="s">
        <v>3136</v>
      </c>
      <c r="I417" s="1" t="s">
        <v>7</v>
      </c>
      <c r="J417" s="1" t="s">
        <v>3137</v>
      </c>
      <c r="K417" s="1" t="s">
        <v>3138</v>
      </c>
      <c r="L417" s="1" t="s">
        <v>3139</v>
      </c>
      <c r="O417" s="1">
        <v>4</v>
      </c>
      <c r="Q417" s="1">
        <v>2004</v>
      </c>
      <c r="R417" s="1" t="s">
        <v>3099</v>
      </c>
      <c r="S417" s="1" t="s">
        <v>27</v>
      </c>
      <c r="T417" s="6">
        <v>1</v>
      </c>
      <c r="U417" s="1">
        <v>79.94</v>
      </c>
      <c r="V417" s="1">
        <v>3.58</v>
      </c>
      <c r="Y417" s="1">
        <v>1.66242</v>
      </c>
      <c r="Z417" s="1">
        <v>1.3128599999999999</v>
      </c>
      <c r="AA417" s="1">
        <v>0.26733000000000001</v>
      </c>
      <c r="AF417" s="1">
        <v>0.54327999999999999</v>
      </c>
      <c r="AG417" s="1">
        <v>8.4029999999999994E-2</v>
      </c>
      <c r="EF417" s="1">
        <v>8.43E-3</v>
      </c>
      <c r="EL417" s="1">
        <v>1.24E-2</v>
      </c>
      <c r="FE417" s="1">
        <v>6.8000000000000005E-2</v>
      </c>
      <c r="FM417" s="1">
        <v>0.46684999999999999</v>
      </c>
    </row>
    <row r="418" spans="1:169" x14ac:dyDescent="0.2">
      <c r="A418" s="1" t="s">
        <v>3140</v>
      </c>
      <c r="B418" s="1" t="s">
        <v>55</v>
      </c>
      <c r="C418" s="1" t="s">
        <v>3093</v>
      </c>
      <c r="E418" s="1">
        <v>33</v>
      </c>
      <c r="F418" s="1" t="s">
        <v>3141</v>
      </c>
      <c r="G418" s="1" t="s">
        <v>3142</v>
      </c>
      <c r="H418" s="1" t="s">
        <v>3143</v>
      </c>
      <c r="I418" s="1" t="s">
        <v>7</v>
      </c>
      <c r="J418" s="1" t="s">
        <v>3144</v>
      </c>
      <c r="K418" s="1" t="s">
        <v>3145</v>
      </c>
      <c r="L418" s="1" t="s">
        <v>3144</v>
      </c>
      <c r="O418" s="1">
        <v>4</v>
      </c>
      <c r="Q418" s="1">
        <v>2004</v>
      </c>
      <c r="R418" s="1" t="s">
        <v>3099</v>
      </c>
      <c r="S418" s="1" t="s">
        <v>27</v>
      </c>
      <c r="T418" s="6">
        <v>1</v>
      </c>
      <c r="U418" s="1">
        <v>73.599999999999994</v>
      </c>
      <c r="V418" s="1">
        <v>2.82</v>
      </c>
      <c r="Y418" s="1">
        <v>7.5359999999999996E-2</v>
      </c>
      <c r="Z418" s="1">
        <v>6.4369999999999997E-2</v>
      </c>
      <c r="AA418" s="1">
        <v>4.811E-2</v>
      </c>
      <c r="AF418" s="1">
        <v>2.3879999999999998E-2</v>
      </c>
      <c r="AG418" s="1">
        <v>2.1440000000000001E-2</v>
      </c>
      <c r="EF418" s="1">
        <v>5.8E-4</v>
      </c>
      <c r="FE418" s="1">
        <v>4.7099999999999998E-3</v>
      </c>
      <c r="FM418" s="1">
        <v>1.8589999999999999E-2</v>
      </c>
    </row>
    <row r="419" spans="1:169" x14ac:dyDescent="0.2">
      <c r="A419" s="1" t="s">
        <v>3146</v>
      </c>
      <c r="B419" s="1" t="s">
        <v>55</v>
      </c>
      <c r="C419" s="1" t="s">
        <v>3093</v>
      </c>
      <c r="E419" s="1">
        <v>33</v>
      </c>
      <c r="F419" s="1" t="s">
        <v>3147</v>
      </c>
      <c r="G419" s="1" t="s">
        <v>3148</v>
      </c>
      <c r="H419" s="1" t="s">
        <v>3149</v>
      </c>
      <c r="I419" s="1" t="s">
        <v>7</v>
      </c>
      <c r="J419" s="1" t="s">
        <v>3150</v>
      </c>
      <c r="K419" s="1" t="s">
        <v>3151</v>
      </c>
      <c r="L419" s="1" t="s">
        <v>3150</v>
      </c>
      <c r="O419" s="1">
        <v>4</v>
      </c>
      <c r="Q419" s="1">
        <v>2004</v>
      </c>
      <c r="R419" s="1" t="s">
        <v>3099</v>
      </c>
      <c r="S419" s="1" t="s">
        <v>27</v>
      </c>
      <c r="T419" s="6">
        <v>1</v>
      </c>
      <c r="U419" s="1">
        <v>81.459999999999994</v>
      </c>
      <c r="V419" s="1">
        <v>2.78</v>
      </c>
      <c r="Y419" s="1">
        <v>6.4420000000000005E-2</v>
      </c>
      <c r="Z419" s="1">
        <v>3.7089999999999998E-2</v>
      </c>
      <c r="AA419" s="1">
        <v>9.7280000000000005E-2</v>
      </c>
      <c r="AF419" s="1">
        <v>9.3049999999999994E-2</v>
      </c>
      <c r="AG419" s="1">
        <v>1.908E-2</v>
      </c>
      <c r="EF419" s="1">
        <v>1.2199999999999999E-3</v>
      </c>
      <c r="EL419" s="1">
        <v>6.8999999999999999E-3</v>
      </c>
      <c r="FE419" s="1">
        <v>6.0699999999999999E-3</v>
      </c>
      <c r="FM419" s="1">
        <v>8.5760000000000003E-2</v>
      </c>
    </row>
    <row r="420" spans="1:169" x14ac:dyDescent="0.2">
      <c r="A420" s="1" t="s">
        <v>3152</v>
      </c>
      <c r="B420" s="1" t="s">
        <v>55</v>
      </c>
      <c r="C420" s="1" t="s">
        <v>3093</v>
      </c>
      <c r="E420" s="1">
        <v>37</v>
      </c>
      <c r="F420" s="1" t="s">
        <v>3153</v>
      </c>
      <c r="G420" s="1" t="s">
        <v>3154</v>
      </c>
      <c r="H420" s="1" t="s">
        <v>3155</v>
      </c>
      <c r="I420" s="1" t="s">
        <v>7</v>
      </c>
      <c r="J420" s="1" t="s">
        <v>3156</v>
      </c>
      <c r="K420" s="1" t="s">
        <v>3157</v>
      </c>
      <c r="L420" s="1" t="s">
        <v>3156</v>
      </c>
      <c r="O420" s="1">
        <v>4</v>
      </c>
      <c r="Q420" s="1">
        <v>2004</v>
      </c>
      <c r="R420" s="1" t="s">
        <v>3099</v>
      </c>
      <c r="S420" s="1" t="s">
        <v>27</v>
      </c>
      <c r="T420" s="6">
        <v>1</v>
      </c>
      <c r="U420" s="1">
        <v>74.099999999999994</v>
      </c>
      <c r="V420" s="1">
        <v>2.52</v>
      </c>
      <c r="Y420" s="1">
        <v>9.9339999999999998E-2</v>
      </c>
      <c r="Z420" s="1">
        <v>6.9610000000000005E-2</v>
      </c>
      <c r="AA420" s="1">
        <v>0.12758</v>
      </c>
      <c r="AF420" s="1">
        <v>0.12385</v>
      </c>
      <c r="AG420" s="1">
        <v>3.056E-2</v>
      </c>
      <c r="EF420" s="1">
        <v>2.1700000000000001E-3</v>
      </c>
      <c r="EL420" s="1">
        <v>6.1000000000000004E-3</v>
      </c>
      <c r="FE420" s="1">
        <v>4.0099999999999997E-3</v>
      </c>
      <c r="FM420" s="1">
        <v>0.11767</v>
      </c>
    </row>
    <row r="421" spans="1:169" x14ac:dyDescent="0.2">
      <c r="A421" s="1" t="s">
        <v>3158</v>
      </c>
      <c r="B421" s="1" t="s">
        <v>55</v>
      </c>
      <c r="C421" s="1" t="s">
        <v>3093</v>
      </c>
      <c r="E421" s="1">
        <v>33</v>
      </c>
      <c r="F421" s="1" t="s">
        <v>3159</v>
      </c>
      <c r="G421" s="1" t="s">
        <v>2499</v>
      </c>
      <c r="H421" s="1" t="s">
        <v>3160</v>
      </c>
      <c r="I421" s="1" t="s">
        <v>7</v>
      </c>
      <c r="J421" s="1" t="s">
        <v>3161</v>
      </c>
      <c r="K421" s="1" t="s">
        <v>3162</v>
      </c>
      <c r="L421" s="1" t="s">
        <v>3161</v>
      </c>
      <c r="O421" s="1">
        <v>4</v>
      </c>
      <c r="Q421" s="1">
        <v>2004</v>
      </c>
      <c r="R421" s="1" t="s">
        <v>3099</v>
      </c>
      <c r="S421" s="1" t="s">
        <v>27</v>
      </c>
      <c r="T421" s="6">
        <v>1</v>
      </c>
      <c r="U421" s="1">
        <v>79.5</v>
      </c>
      <c r="V421" s="1">
        <v>2.98</v>
      </c>
      <c r="Y421" s="1">
        <v>0.11554</v>
      </c>
      <c r="Z421" s="1">
        <v>7.3810000000000001E-2</v>
      </c>
      <c r="AA421" s="1">
        <v>9.3869999999999995E-2</v>
      </c>
      <c r="AF421" s="1">
        <v>7.4859999999999996E-2</v>
      </c>
      <c r="AG421" s="1">
        <v>2.8850000000000001E-2</v>
      </c>
      <c r="EF421" s="1">
        <v>1.6199999999999999E-3</v>
      </c>
      <c r="EL421" s="1">
        <v>1.5E-3</v>
      </c>
      <c r="FE421" s="1">
        <v>9.8700000000000003E-3</v>
      </c>
      <c r="FM421" s="1">
        <v>6.3380000000000006E-2</v>
      </c>
    </row>
    <row r="422" spans="1:169" x14ac:dyDescent="0.2">
      <c r="A422" s="1" t="s">
        <v>3163</v>
      </c>
      <c r="B422" s="1" t="s">
        <v>55</v>
      </c>
      <c r="C422" s="1" t="s">
        <v>3093</v>
      </c>
      <c r="E422" s="1">
        <v>33</v>
      </c>
      <c r="F422" s="1" t="s">
        <v>3164</v>
      </c>
      <c r="G422" s="1" t="s">
        <v>3165</v>
      </c>
      <c r="H422" s="1" t="s">
        <v>3166</v>
      </c>
      <c r="I422" s="1" t="s">
        <v>7</v>
      </c>
      <c r="J422" s="1" t="s">
        <v>3167</v>
      </c>
      <c r="L422" s="1" t="s">
        <v>3168</v>
      </c>
      <c r="O422" s="1">
        <v>4</v>
      </c>
      <c r="Q422" s="1">
        <v>2005</v>
      </c>
      <c r="R422" s="1" t="s">
        <v>3099</v>
      </c>
      <c r="S422" s="1" t="s">
        <v>27</v>
      </c>
      <c r="T422" s="6">
        <v>1</v>
      </c>
      <c r="U422" s="1">
        <v>79.599999999999994</v>
      </c>
      <c r="V422" s="1">
        <v>4.0599999999999996</v>
      </c>
      <c r="Y422" s="1">
        <v>1.08954</v>
      </c>
      <c r="Z422" s="1">
        <v>0.61124999999999996</v>
      </c>
      <c r="AA422" s="1">
        <v>0.39721000000000001</v>
      </c>
      <c r="AF422" s="1">
        <v>0.23719999999999999</v>
      </c>
      <c r="AG422" s="1">
        <v>0.12645999999999999</v>
      </c>
      <c r="EF422" s="1">
        <v>9.0740000000000001E-2</v>
      </c>
      <c r="EL422" s="1">
        <v>1.03E-2</v>
      </c>
      <c r="FE422" s="1">
        <v>3.193E-2</v>
      </c>
      <c r="FM422" s="1">
        <v>0.11453000000000001</v>
      </c>
    </row>
    <row r="423" spans="1:169" x14ac:dyDescent="0.2">
      <c r="A423" s="1" t="s">
        <v>3169</v>
      </c>
      <c r="B423" s="1" t="s">
        <v>55</v>
      </c>
      <c r="C423" s="1" t="s">
        <v>3093</v>
      </c>
      <c r="E423" s="1">
        <v>36</v>
      </c>
      <c r="F423" s="1" t="s">
        <v>3170</v>
      </c>
      <c r="G423" s="1" t="s">
        <v>3171</v>
      </c>
      <c r="H423" s="1" t="s">
        <v>3172</v>
      </c>
      <c r="I423" s="1" t="s">
        <v>7</v>
      </c>
      <c r="J423" s="1" t="s">
        <v>3173</v>
      </c>
      <c r="K423" s="1" t="s">
        <v>3174</v>
      </c>
      <c r="L423" s="1" t="s">
        <v>3173</v>
      </c>
      <c r="O423" s="1">
        <v>4</v>
      </c>
      <c r="Q423" s="1">
        <v>2004</v>
      </c>
      <c r="R423" s="1" t="s">
        <v>3099</v>
      </c>
      <c r="S423" s="1" t="s">
        <v>27</v>
      </c>
      <c r="T423" s="6">
        <v>1</v>
      </c>
      <c r="U423" s="1">
        <v>74.8</v>
      </c>
      <c r="V423" s="1">
        <v>4.21</v>
      </c>
      <c r="Y423" s="1">
        <v>0.72662000000000004</v>
      </c>
      <c r="Z423" s="1">
        <v>0.24354000000000001</v>
      </c>
      <c r="AA423" s="1">
        <v>0.76112000000000002</v>
      </c>
      <c r="AF423" s="1">
        <v>0.63997999999999999</v>
      </c>
      <c r="AG423" s="1">
        <v>9.3810000000000004E-2</v>
      </c>
      <c r="EF423" s="1">
        <v>1.214E-2</v>
      </c>
      <c r="EL423" s="1">
        <v>1.55E-2</v>
      </c>
      <c r="FE423" s="1">
        <v>0.1061</v>
      </c>
      <c r="FM423" s="1">
        <v>0.52173999999999998</v>
      </c>
    </row>
    <row r="424" spans="1:169" x14ac:dyDescent="0.2">
      <c r="A424" s="1" t="s">
        <v>3175</v>
      </c>
      <c r="B424" s="1" t="s">
        <v>55</v>
      </c>
      <c r="C424" s="1" t="s">
        <v>3093</v>
      </c>
      <c r="E424" s="1">
        <v>33</v>
      </c>
      <c r="F424" s="1" t="s">
        <v>2510</v>
      </c>
      <c r="G424" s="1" t="s">
        <v>2511</v>
      </c>
      <c r="H424" s="1" t="s">
        <v>3176</v>
      </c>
      <c r="I424" s="1" t="s">
        <v>7</v>
      </c>
      <c r="J424" s="1" t="s">
        <v>2513</v>
      </c>
      <c r="K424" s="1" t="s">
        <v>2514</v>
      </c>
      <c r="L424" s="1" t="s">
        <v>2513</v>
      </c>
      <c r="O424" s="1">
        <v>4</v>
      </c>
      <c r="Q424" s="1">
        <v>2004</v>
      </c>
      <c r="R424" s="1" t="s">
        <v>3099</v>
      </c>
      <c r="S424" s="1" t="s">
        <v>27</v>
      </c>
      <c r="T424" s="6">
        <v>1</v>
      </c>
      <c r="U424" s="1">
        <v>78.5</v>
      </c>
      <c r="V424" s="1">
        <v>3.28</v>
      </c>
      <c r="Y424" s="1">
        <v>0.34151999999999999</v>
      </c>
      <c r="Z424" s="1">
        <v>0.45295000000000002</v>
      </c>
      <c r="AA424" s="1">
        <v>0.38255</v>
      </c>
      <c r="AF424" s="1">
        <v>0.15728</v>
      </c>
      <c r="AG424" s="1">
        <v>0.20476</v>
      </c>
      <c r="EF424" s="1">
        <v>2.2239999999999999E-2</v>
      </c>
      <c r="EL424" s="1">
        <v>1.4800000000000001E-2</v>
      </c>
      <c r="FE424" s="1">
        <v>2.256E-2</v>
      </c>
      <c r="FM424" s="1">
        <v>0.11248</v>
      </c>
    </row>
    <row r="425" spans="1:169" x14ac:dyDescent="0.2">
      <c r="A425" s="1" t="s">
        <v>3177</v>
      </c>
      <c r="B425" s="1" t="s">
        <v>55</v>
      </c>
      <c r="C425" s="1" t="s">
        <v>3093</v>
      </c>
      <c r="E425" s="1">
        <v>33</v>
      </c>
      <c r="F425" s="1" t="s">
        <v>3178</v>
      </c>
      <c r="G425" s="1" t="s">
        <v>2523</v>
      </c>
      <c r="H425" s="1" t="s">
        <v>3179</v>
      </c>
      <c r="I425" s="1" t="s">
        <v>7</v>
      </c>
      <c r="J425" s="1" t="s">
        <v>3180</v>
      </c>
      <c r="K425" s="1" t="s">
        <v>3181</v>
      </c>
      <c r="L425" s="1" t="s">
        <v>3180</v>
      </c>
      <c r="O425" s="1">
        <v>4</v>
      </c>
      <c r="Q425" s="1">
        <v>2004</v>
      </c>
      <c r="R425" s="1" t="s">
        <v>3099</v>
      </c>
      <c r="S425" s="1" t="s">
        <v>27</v>
      </c>
      <c r="T425" s="6">
        <v>1</v>
      </c>
      <c r="U425" s="1">
        <v>73.8</v>
      </c>
      <c r="V425" s="1">
        <v>5.01</v>
      </c>
      <c r="Y425" s="1">
        <v>0.85446999999999995</v>
      </c>
      <c r="Z425" s="1">
        <v>0.47677999999999998</v>
      </c>
      <c r="AA425" s="1">
        <v>0.59897999999999996</v>
      </c>
      <c r="AF425" s="1">
        <v>0.62341999999999997</v>
      </c>
      <c r="AG425" s="1">
        <v>8.0310000000000006E-2</v>
      </c>
      <c r="EF425" s="1">
        <v>1.057E-2</v>
      </c>
      <c r="EL425" s="1">
        <v>1.47E-2</v>
      </c>
      <c r="FE425" s="1">
        <v>0.10614999999999999</v>
      </c>
      <c r="FM425" s="1">
        <v>0.50670000000000004</v>
      </c>
    </row>
    <row r="426" spans="1:169" x14ac:dyDescent="0.2">
      <c r="A426" s="1" t="s">
        <v>3182</v>
      </c>
      <c r="B426" s="1" t="s">
        <v>55</v>
      </c>
      <c r="C426" s="1" t="s">
        <v>3093</v>
      </c>
      <c r="E426" s="1">
        <v>33</v>
      </c>
      <c r="F426" s="1" t="s">
        <v>3183</v>
      </c>
      <c r="G426" s="1" t="s">
        <v>3184</v>
      </c>
      <c r="H426" s="1" t="s">
        <v>3185</v>
      </c>
      <c r="I426" s="1" t="s">
        <v>7</v>
      </c>
      <c r="J426" s="1" t="s">
        <v>3186</v>
      </c>
      <c r="K426" s="1" t="s">
        <v>3187</v>
      </c>
      <c r="L426" s="1" t="s">
        <v>3186</v>
      </c>
      <c r="O426" s="1">
        <v>4</v>
      </c>
      <c r="Q426" s="1">
        <v>2004</v>
      </c>
      <c r="R426" s="1" t="s">
        <v>3099</v>
      </c>
      <c r="S426" s="1" t="s">
        <v>27</v>
      </c>
      <c r="T426" s="6">
        <v>1</v>
      </c>
      <c r="U426" s="1">
        <v>76.3</v>
      </c>
      <c r="V426" s="1">
        <v>2.65</v>
      </c>
      <c r="Y426" s="1">
        <v>0.23326</v>
      </c>
      <c r="Z426" s="1">
        <v>0.20433000000000001</v>
      </c>
      <c r="AA426" s="1">
        <v>0.29397000000000001</v>
      </c>
      <c r="AF426" s="1">
        <v>0.22609000000000001</v>
      </c>
      <c r="AG426" s="1">
        <v>7.0290000000000005E-2</v>
      </c>
      <c r="EF426" s="1">
        <v>3.6900000000000001E-3</v>
      </c>
      <c r="EL426" s="1">
        <v>7.1999999999999998E-3</v>
      </c>
      <c r="FE426" s="1">
        <v>4.0099999999999997E-2</v>
      </c>
      <c r="FM426" s="1">
        <v>0.18229999999999999</v>
      </c>
    </row>
    <row r="427" spans="1:169" x14ac:dyDescent="0.2">
      <c r="A427" s="1" t="s">
        <v>3188</v>
      </c>
      <c r="B427" s="1" t="s">
        <v>55</v>
      </c>
      <c r="C427" s="1" t="s">
        <v>3093</v>
      </c>
      <c r="E427" s="1">
        <v>37</v>
      </c>
      <c r="F427" s="1" t="s">
        <v>3189</v>
      </c>
      <c r="G427" s="1" t="s">
        <v>3190</v>
      </c>
      <c r="H427" s="1" t="s">
        <v>3191</v>
      </c>
      <c r="I427" s="1" t="s">
        <v>7</v>
      </c>
      <c r="J427" s="1" t="s">
        <v>3192</v>
      </c>
      <c r="K427" s="1" t="s">
        <v>3193</v>
      </c>
      <c r="L427" s="1" t="s">
        <v>3192</v>
      </c>
      <c r="O427" s="1">
        <v>4</v>
      </c>
      <c r="Q427" s="1">
        <v>2004</v>
      </c>
      <c r="R427" s="1" t="s">
        <v>3099</v>
      </c>
      <c r="S427" s="1" t="s">
        <v>27</v>
      </c>
      <c r="T427" s="6">
        <v>1</v>
      </c>
      <c r="U427" s="1">
        <v>72.400000000000006</v>
      </c>
      <c r="V427" s="1">
        <v>7.29</v>
      </c>
      <c r="Y427" s="1">
        <v>0.91661999999999999</v>
      </c>
      <c r="Z427" s="1">
        <v>0.80239000000000005</v>
      </c>
      <c r="AA427" s="1">
        <v>0.96636</v>
      </c>
      <c r="AF427" s="1">
        <v>0.82865</v>
      </c>
      <c r="AG427" s="1">
        <v>0.11219999999999999</v>
      </c>
      <c r="EF427" s="1">
        <v>1.5010000000000001E-2</v>
      </c>
      <c r="EL427" s="1">
        <v>3.5499999999999997E-2</v>
      </c>
      <c r="FE427" s="1">
        <v>0.12767999999999999</v>
      </c>
      <c r="FM427" s="1">
        <v>0.68596000000000001</v>
      </c>
    </row>
    <row r="428" spans="1:169" x14ac:dyDescent="0.2">
      <c r="A428" s="1" t="s">
        <v>3194</v>
      </c>
      <c r="B428" s="1" t="s">
        <v>55</v>
      </c>
      <c r="C428" s="1" t="s">
        <v>2565</v>
      </c>
      <c r="D428" s="1" t="s">
        <v>2</v>
      </c>
      <c r="E428" s="1">
        <v>23</v>
      </c>
      <c r="F428" s="1" t="s">
        <v>1472</v>
      </c>
      <c r="H428" s="1" t="s">
        <v>3195</v>
      </c>
      <c r="I428" s="1" t="s">
        <v>7</v>
      </c>
      <c r="J428" s="1" t="s">
        <v>1474</v>
      </c>
      <c r="K428" s="1" t="s">
        <v>1475</v>
      </c>
      <c r="L428" s="1" t="s">
        <v>1474</v>
      </c>
      <c r="N428" s="1" t="s">
        <v>3196</v>
      </c>
      <c r="P428" s="1" t="s">
        <v>3197</v>
      </c>
      <c r="Q428" s="1">
        <v>2010</v>
      </c>
      <c r="R428" s="1" t="s">
        <v>3198</v>
      </c>
      <c r="S428" s="1" t="s">
        <v>27</v>
      </c>
      <c r="T428" s="6">
        <v>1</v>
      </c>
      <c r="U428" s="1">
        <v>74.2</v>
      </c>
      <c r="X428" s="1">
        <v>4.7</v>
      </c>
      <c r="AD428" s="1">
        <v>0.902574468085106</v>
      </c>
      <c r="BG428" s="1">
        <v>0.13362615</v>
      </c>
      <c r="CT428" s="1">
        <v>0.21846815</v>
      </c>
      <c r="DN428" s="1">
        <v>0.32409643999999999</v>
      </c>
      <c r="FE428" s="1">
        <v>0.34530694000000001</v>
      </c>
      <c r="FM428" s="1">
        <v>0.70800649000000004</v>
      </c>
    </row>
    <row r="429" spans="1:169" x14ac:dyDescent="0.2">
      <c r="A429" s="1" t="s">
        <v>3199</v>
      </c>
      <c r="B429" s="1" t="s">
        <v>55</v>
      </c>
      <c r="C429" s="1" t="s">
        <v>2565</v>
      </c>
      <c r="D429" s="1" t="s">
        <v>2</v>
      </c>
      <c r="E429" s="1">
        <v>23</v>
      </c>
      <c r="F429" s="1" t="s">
        <v>1472</v>
      </c>
      <c r="H429" s="1" t="s">
        <v>3200</v>
      </c>
      <c r="I429" s="1" t="s">
        <v>7</v>
      </c>
      <c r="J429" s="1" t="s">
        <v>1474</v>
      </c>
      <c r="K429" s="1" t="s">
        <v>1475</v>
      </c>
      <c r="L429" s="1" t="s">
        <v>1474</v>
      </c>
      <c r="N429" s="1" t="s">
        <v>3201</v>
      </c>
      <c r="P429" s="1" t="s">
        <v>3197</v>
      </c>
      <c r="Q429" s="1">
        <v>2010</v>
      </c>
      <c r="R429" s="1" t="s">
        <v>3198</v>
      </c>
      <c r="S429" s="1" t="s">
        <v>27</v>
      </c>
      <c r="T429" s="6">
        <v>1</v>
      </c>
      <c r="U429" s="1">
        <v>77.7</v>
      </c>
      <c r="X429" s="1">
        <v>2.1</v>
      </c>
      <c r="AD429" s="1">
        <v>0.86490476190476195</v>
      </c>
      <c r="BG429" s="1">
        <v>4.2501419999999998E-2</v>
      </c>
      <c r="CT429" s="1">
        <v>8.046209E-2</v>
      </c>
      <c r="DN429" s="1">
        <v>0.14766519</v>
      </c>
      <c r="FE429" s="1">
        <v>0.14330607000000001</v>
      </c>
      <c r="FM429" s="1">
        <v>0.36053554999999998</v>
      </c>
    </row>
    <row r="430" spans="1:169" x14ac:dyDescent="0.2">
      <c r="A430" s="1" t="s">
        <v>3202</v>
      </c>
      <c r="B430" s="1" t="s">
        <v>55</v>
      </c>
      <c r="C430" s="1" t="s">
        <v>2565</v>
      </c>
      <c r="D430" s="1" t="s">
        <v>2</v>
      </c>
      <c r="E430" s="1">
        <v>23</v>
      </c>
      <c r="F430" s="1" t="s">
        <v>1472</v>
      </c>
      <c r="H430" s="1" t="s">
        <v>3203</v>
      </c>
      <c r="I430" s="1" t="s">
        <v>7</v>
      </c>
      <c r="J430" s="1" t="s">
        <v>1474</v>
      </c>
      <c r="K430" s="1" t="s">
        <v>1475</v>
      </c>
      <c r="L430" s="1" t="s">
        <v>1474</v>
      </c>
      <c r="N430" s="1" t="s">
        <v>3204</v>
      </c>
      <c r="P430" s="1" t="s">
        <v>3197</v>
      </c>
      <c r="Q430" s="1">
        <v>2010</v>
      </c>
      <c r="R430" s="1" t="s">
        <v>3198</v>
      </c>
      <c r="S430" s="1" t="s">
        <v>27</v>
      </c>
      <c r="T430" s="6">
        <v>1</v>
      </c>
      <c r="U430" s="1">
        <v>75.400000000000006</v>
      </c>
      <c r="X430" s="1">
        <v>4.2</v>
      </c>
      <c r="AD430" s="1">
        <v>0.89895238095238095</v>
      </c>
      <c r="BG430" s="1">
        <v>0.1170436</v>
      </c>
      <c r="CT430" s="1">
        <v>0.23786280000000001</v>
      </c>
      <c r="DN430" s="1">
        <v>0.45495980000000003</v>
      </c>
      <c r="FE430" s="1">
        <v>0.24692423999999999</v>
      </c>
      <c r="FM430" s="1">
        <v>0.54179860000000002</v>
      </c>
    </row>
    <row r="431" spans="1:169" x14ac:dyDescent="0.2">
      <c r="A431" s="1" t="s">
        <v>3205</v>
      </c>
      <c r="B431" s="1" t="s">
        <v>55</v>
      </c>
      <c r="C431" s="1" t="s">
        <v>2565</v>
      </c>
      <c r="D431" s="1" t="s">
        <v>2</v>
      </c>
      <c r="E431" s="1">
        <v>23</v>
      </c>
      <c r="F431" s="1" t="s">
        <v>1472</v>
      </c>
      <c r="H431" s="1" t="s">
        <v>3206</v>
      </c>
      <c r="I431" s="1" t="s">
        <v>7</v>
      </c>
      <c r="J431" s="1" t="s">
        <v>1474</v>
      </c>
      <c r="K431" s="1" t="s">
        <v>1475</v>
      </c>
      <c r="L431" s="1" t="s">
        <v>1474</v>
      </c>
      <c r="N431" s="1" t="s">
        <v>3207</v>
      </c>
      <c r="P431" s="1" t="s">
        <v>3197</v>
      </c>
      <c r="Q431" s="1">
        <v>2010</v>
      </c>
      <c r="R431" s="1" t="s">
        <v>3198</v>
      </c>
      <c r="S431" s="1" t="s">
        <v>27</v>
      </c>
      <c r="T431" s="6">
        <v>1</v>
      </c>
      <c r="U431" s="1">
        <v>76.7</v>
      </c>
      <c r="X431" s="1">
        <v>3.6</v>
      </c>
      <c r="AD431" s="1">
        <v>0.89327777777777795</v>
      </c>
      <c r="BG431" s="1">
        <v>7.6857620000000001E-2</v>
      </c>
      <c r="CT431" s="1">
        <v>0.35856169999999998</v>
      </c>
      <c r="DN431" s="1">
        <v>0.33058423999999997</v>
      </c>
      <c r="FE431" s="1">
        <v>0.1961638</v>
      </c>
      <c r="FM431" s="1">
        <v>0.47883261999999999</v>
      </c>
    </row>
    <row r="432" spans="1:169" x14ac:dyDescent="0.2">
      <c r="A432" s="1" t="s">
        <v>3208</v>
      </c>
      <c r="B432" s="1" t="s">
        <v>55</v>
      </c>
      <c r="C432" s="1" t="s">
        <v>2565</v>
      </c>
      <c r="D432" s="1" t="s">
        <v>2</v>
      </c>
      <c r="E432" s="1">
        <v>23</v>
      </c>
      <c r="F432" s="1" t="s">
        <v>1472</v>
      </c>
      <c r="H432" s="1" t="s">
        <v>3206</v>
      </c>
      <c r="I432" s="1" t="s">
        <v>7</v>
      </c>
      <c r="J432" s="1" t="s">
        <v>1474</v>
      </c>
      <c r="K432" s="1" t="s">
        <v>1475</v>
      </c>
      <c r="L432" s="1" t="s">
        <v>1474</v>
      </c>
      <c r="N432" s="1" t="s">
        <v>3209</v>
      </c>
      <c r="P432" s="1" t="s">
        <v>3197</v>
      </c>
      <c r="Q432" s="1">
        <v>2010</v>
      </c>
      <c r="R432" s="1" t="s">
        <v>3198</v>
      </c>
      <c r="S432" s="1" t="s">
        <v>27</v>
      </c>
      <c r="T432" s="6">
        <v>1</v>
      </c>
      <c r="U432" s="1">
        <v>79</v>
      </c>
      <c r="X432" s="1">
        <v>1.7</v>
      </c>
      <c r="AD432" s="1">
        <v>0.84888235294117698</v>
      </c>
      <c r="BG432" s="1">
        <v>2.59758E-2</v>
      </c>
      <c r="CT432" s="1">
        <v>0.11140732</v>
      </c>
      <c r="DN432" s="1">
        <v>0.15874099999999999</v>
      </c>
      <c r="FE432" s="1">
        <v>7.5618439999999995E-2</v>
      </c>
      <c r="FM432" s="1">
        <v>0.42946656</v>
      </c>
    </row>
    <row r="433" spans="1:24" x14ac:dyDescent="0.2">
      <c r="A433" s="1" t="s">
        <v>3210</v>
      </c>
      <c r="B433" s="1" t="s">
        <v>55</v>
      </c>
      <c r="C433" s="1" t="s">
        <v>2565</v>
      </c>
      <c r="D433" s="1" t="s">
        <v>2</v>
      </c>
      <c r="E433" s="1">
        <v>23</v>
      </c>
      <c r="F433" s="1" t="s">
        <v>1472</v>
      </c>
      <c r="H433" s="1" t="s">
        <v>3211</v>
      </c>
      <c r="I433" s="1" t="s">
        <v>11</v>
      </c>
      <c r="J433" s="1" t="s">
        <v>1474</v>
      </c>
      <c r="K433" s="1" t="s">
        <v>1475</v>
      </c>
      <c r="L433" s="1" t="s">
        <v>1474</v>
      </c>
      <c r="N433" s="1" t="s">
        <v>3196</v>
      </c>
      <c r="P433" s="1" t="s">
        <v>3197</v>
      </c>
      <c r="Q433" s="1">
        <v>2010</v>
      </c>
      <c r="R433" s="1" t="s">
        <v>3198</v>
      </c>
      <c r="S433" s="1" t="s">
        <v>27</v>
      </c>
      <c r="T433" s="6">
        <v>1</v>
      </c>
      <c r="U433" s="1">
        <v>70.8</v>
      </c>
      <c r="X433" s="1">
        <v>6.5</v>
      </c>
    </row>
    <row r="434" spans="1:24" x14ac:dyDescent="0.2">
      <c r="A434" s="1" t="s">
        <v>3212</v>
      </c>
      <c r="B434" s="1" t="s">
        <v>55</v>
      </c>
      <c r="C434" s="1" t="s">
        <v>2565</v>
      </c>
      <c r="D434" s="1" t="s">
        <v>2</v>
      </c>
      <c r="E434" s="1">
        <v>23</v>
      </c>
      <c r="F434" s="1" t="s">
        <v>1472</v>
      </c>
      <c r="H434" s="1" t="s">
        <v>3213</v>
      </c>
      <c r="I434" s="1" t="s">
        <v>11</v>
      </c>
      <c r="J434" s="1" t="s">
        <v>1474</v>
      </c>
      <c r="K434" s="1" t="s">
        <v>1475</v>
      </c>
      <c r="L434" s="1" t="s">
        <v>1474</v>
      </c>
      <c r="N434" s="1" t="s">
        <v>3196</v>
      </c>
      <c r="P434" s="1" t="s">
        <v>3197</v>
      </c>
      <c r="Q434" s="1">
        <v>2010</v>
      </c>
      <c r="R434" s="1" t="s">
        <v>3198</v>
      </c>
      <c r="S434" s="1" t="s">
        <v>27</v>
      </c>
      <c r="T434" s="6">
        <v>1</v>
      </c>
      <c r="U434" s="1">
        <v>65.900000000000006</v>
      </c>
      <c r="X434" s="1">
        <v>7.1</v>
      </c>
    </row>
    <row r="435" spans="1:24" x14ac:dyDescent="0.2">
      <c r="A435" s="1" t="s">
        <v>3214</v>
      </c>
      <c r="B435" s="1" t="s">
        <v>55</v>
      </c>
      <c r="C435" s="1" t="s">
        <v>236</v>
      </c>
      <c r="E435" s="1">
        <v>33</v>
      </c>
      <c r="F435" s="1" t="s">
        <v>3215</v>
      </c>
      <c r="H435" s="1" t="s">
        <v>3216</v>
      </c>
      <c r="I435" s="1" t="s">
        <v>7</v>
      </c>
      <c r="J435" s="1" t="s">
        <v>3217</v>
      </c>
      <c r="L435" s="1" t="s">
        <v>3218</v>
      </c>
      <c r="M435" s="1" t="s">
        <v>481</v>
      </c>
      <c r="O435" s="1">
        <v>1</v>
      </c>
      <c r="P435" s="1" t="s">
        <v>3219</v>
      </c>
      <c r="Q435" s="1">
        <v>1999</v>
      </c>
      <c r="R435" s="1" t="s">
        <v>3220</v>
      </c>
      <c r="S435" s="1" t="s">
        <v>27</v>
      </c>
      <c r="T435" s="6">
        <v>1</v>
      </c>
      <c r="V435" s="1">
        <v>0.99</v>
      </c>
    </row>
    <row r="436" spans="1:24" x14ac:dyDescent="0.2">
      <c r="A436" s="1" t="s">
        <v>3221</v>
      </c>
      <c r="B436" s="1" t="s">
        <v>55</v>
      </c>
      <c r="C436" s="1" t="s">
        <v>236</v>
      </c>
      <c r="E436" s="1">
        <v>33</v>
      </c>
      <c r="F436" s="1" t="s">
        <v>3222</v>
      </c>
      <c r="H436" s="1" t="s">
        <v>3223</v>
      </c>
      <c r="I436" s="1" t="s">
        <v>7</v>
      </c>
      <c r="J436" s="1" t="s">
        <v>3224</v>
      </c>
      <c r="K436" s="1" t="s">
        <v>3225</v>
      </c>
      <c r="L436" s="1" t="s">
        <v>3224</v>
      </c>
      <c r="M436" s="1" t="s">
        <v>3226</v>
      </c>
      <c r="N436" s="1" t="s">
        <v>3227</v>
      </c>
      <c r="O436" s="1">
        <v>1</v>
      </c>
      <c r="P436" s="1" t="s">
        <v>3219</v>
      </c>
      <c r="Q436" s="1">
        <v>1999</v>
      </c>
      <c r="R436" s="1" t="s">
        <v>3220</v>
      </c>
      <c r="S436" s="1" t="s">
        <v>27</v>
      </c>
      <c r="T436" s="6">
        <v>1</v>
      </c>
      <c r="V436" s="1">
        <v>1.6</v>
      </c>
    </row>
    <row r="437" spans="1:24" x14ac:dyDescent="0.2">
      <c r="A437" s="1" t="s">
        <v>3228</v>
      </c>
      <c r="B437" s="1" t="s">
        <v>55</v>
      </c>
      <c r="C437" s="1" t="s">
        <v>236</v>
      </c>
      <c r="E437" s="1">
        <v>33</v>
      </c>
      <c r="F437" s="1" t="s">
        <v>3222</v>
      </c>
      <c r="H437" s="1" t="s">
        <v>3223</v>
      </c>
      <c r="I437" s="1" t="s">
        <v>7</v>
      </c>
      <c r="J437" s="1" t="s">
        <v>3224</v>
      </c>
      <c r="K437" s="1" t="s">
        <v>3225</v>
      </c>
      <c r="L437" s="1" t="s">
        <v>3224</v>
      </c>
      <c r="M437" s="1" t="s">
        <v>2890</v>
      </c>
      <c r="N437" s="1" t="s">
        <v>3229</v>
      </c>
      <c r="O437" s="1">
        <v>1</v>
      </c>
      <c r="P437" s="1" t="s">
        <v>3219</v>
      </c>
      <c r="Q437" s="1">
        <v>1999</v>
      </c>
      <c r="R437" s="1" t="s">
        <v>3220</v>
      </c>
      <c r="S437" s="1" t="s">
        <v>27</v>
      </c>
      <c r="T437" s="6">
        <v>1</v>
      </c>
      <c r="V437" s="1">
        <v>0.72</v>
      </c>
    </row>
    <row r="438" spans="1:24" x14ac:dyDescent="0.2">
      <c r="A438" s="1" t="s">
        <v>3230</v>
      </c>
      <c r="B438" s="1" t="s">
        <v>55</v>
      </c>
      <c r="C438" s="1" t="s">
        <v>236</v>
      </c>
      <c r="E438" s="1">
        <v>34</v>
      </c>
      <c r="F438" s="1" t="s">
        <v>3231</v>
      </c>
      <c r="H438" s="1" t="s">
        <v>3232</v>
      </c>
      <c r="I438" s="1" t="s">
        <v>7</v>
      </c>
      <c r="J438" s="1" t="s">
        <v>3233</v>
      </c>
      <c r="K438" s="1" t="s">
        <v>3234</v>
      </c>
      <c r="L438" s="1" t="s">
        <v>3235</v>
      </c>
      <c r="O438" s="1">
        <v>1</v>
      </c>
      <c r="P438" s="1" t="s">
        <v>3219</v>
      </c>
      <c r="Q438" s="1">
        <v>1999</v>
      </c>
      <c r="R438" s="1" t="s">
        <v>3220</v>
      </c>
      <c r="S438" s="1" t="s">
        <v>27</v>
      </c>
      <c r="T438" s="6">
        <v>1</v>
      </c>
      <c r="V438" s="1">
        <v>2.4</v>
      </c>
    </row>
    <row r="439" spans="1:24" x14ac:dyDescent="0.2">
      <c r="A439" s="1" t="s">
        <v>3236</v>
      </c>
      <c r="B439" s="1" t="s">
        <v>55</v>
      </c>
      <c r="C439" s="1" t="s">
        <v>236</v>
      </c>
      <c r="E439" s="1">
        <v>37</v>
      </c>
      <c r="F439" s="1" t="s">
        <v>3237</v>
      </c>
      <c r="H439" s="1" t="s">
        <v>3238</v>
      </c>
      <c r="I439" s="1" t="s">
        <v>7</v>
      </c>
      <c r="J439" s="1" t="s">
        <v>3239</v>
      </c>
      <c r="K439" s="1" t="s">
        <v>3240</v>
      </c>
      <c r="L439" s="1" t="s">
        <v>3239</v>
      </c>
      <c r="M439" s="1" t="s">
        <v>817</v>
      </c>
      <c r="N439" s="1" t="s">
        <v>3241</v>
      </c>
      <c r="O439" s="1">
        <v>1</v>
      </c>
      <c r="P439" s="1" t="s">
        <v>3219</v>
      </c>
      <c r="Q439" s="1">
        <v>1999</v>
      </c>
      <c r="R439" s="1" t="s">
        <v>3220</v>
      </c>
      <c r="S439" s="1" t="s">
        <v>27</v>
      </c>
      <c r="T439" s="6">
        <v>1</v>
      </c>
      <c r="V439" s="1">
        <v>0.86</v>
      </c>
    </row>
    <row r="440" spans="1:24" x14ac:dyDescent="0.2">
      <c r="A440" s="1" t="s">
        <v>3242</v>
      </c>
      <c r="B440" s="1" t="s">
        <v>55</v>
      </c>
      <c r="C440" s="1" t="s">
        <v>236</v>
      </c>
      <c r="E440" s="1">
        <v>31</v>
      </c>
      <c r="F440" s="1" t="s">
        <v>3243</v>
      </c>
      <c r="H440" s="1" t="s">
        <v>3244</v>
      </c>
      <c r="I440" s="1" t="s">
        <v>7</v>
      </c>
      <c r="J440" s="1" t="s">
        <v>3245</v>
      </c>
      <c r="L440" s="1" t="s">
        <v>3246</v>
      </c>
      <c r="M440" s="1" t="s">
        <v>2890</v>
      </c>
      <c r="N440" s="1" t="s">
        <v>3247</v>
      </c>
      <c r="O440" s="1">
        <v>1</v>
      </c>
      <c r="P440" s="1" t="s">
        <v>3219</v>
      </c>
      <c r="Q440" s="1">
        <v>1999</v>
      </c>
      <c r="R440" s="1" t="s">
        <v>3220</v>
      </c>
      <c r="S440" s="1" t="s">
        <v>27</v>
      </c>
      <c r="T440" s="6">
        <v>1</v>
      </c>
      <c r="V440" s="1">
        <v>0.3</v>
      </c>
    </row>
    <row r="441" spans="1:24" x14ac:dyDescent="0.2">
      <c r="A441" s="1" t="s">
        <v>3248</v>
      </c>
      <c r="B441" s="1" t="s">
        <v>55</v>
      </c>
      <c r="C441" s="1" t="s">
        <v>236</v>
      </c>
      <c r="E441" s="1">
        <v>31</v>
      </c>
      <c r="F441" s="1" t="s">
        <v>3243</v>
      </c>
      <c r="H441" s="1" t="s">
        <v>3244</v>
      </c>
      <c r="I441" s="1" t="s">
        <v>7</v>
      </c>
      <c r="J441" s="1" t="s">
        <v>3245</v>
      </c>
      <c r="L441" s="1" t="s">
        <v>3246</v>
      </c>
      <c r="M441" s="1" t="s">
        <v>2890</v>
      </c>
      <c r="N441" s="1" t="s">
        <v>3249</v>
      </c>
      <c r="O441" s="1">
        <v>1</v>
      </c>
      <c r="P441" s="1" t="s">
        <v>3219</v>
      </c>
      <c r="Q441" s="1">
        <v>1999</v>
      </c>
      <c r="R441" s="1" t="s">
        <v>3220</v>
      </c>
      <c r="S441" s="1" t="s">
        <v>27</v>
      </c>
      <c r="T441" s="6">
        <v>1</v>
      </c>
      <c r="V441" s="1">
        <v>0.55000000000000004</v>
      </c>
    </row>
    <row r="442" spans="1:24" x14ac:dyDescent="0.2">
      <c r="A442" s="1" t="s">
        <v>3250</v>
      </c>
      <c r="B442" s="1" t="s">
        <v>55</v>
      </c>
      <c r="C442" s="1" t="s">
        <v>236</v>
      </c>
      <c r="E442" s="1">
        <v>37</v>
      </c>
      <c r="F442" s="1" t="s">
        <v>2036</v>
      </c>
      <c r="H442" s="1" t="s">
        <v>3251</v>
      </c>
      <c r="I442" s="1" t="s">
        <v>7</v>
      </c>
      <c r="J442" s="1" t="s">
        <v>3252</v>
      </c>
      <c r="K442" s="1" t="s">
        <v>2040</v>
      </c>
      <c r="L442" s="1" t="s">
        <v>3252</v>
      </c>
      <c r="M442" s="1" t="s">
        <v>817</v>
      </c>
      <c r="N442" s="1" t="s">
        <v>3253</v>
      </c>
      <c r="O442" s="1">
        <v>1</v>
      </c>
      <c r="P442" s="1" t="s">
        <v>3219</v>
      </c>
      <c r="Q442" s="1">
        <v>1999</v>
      </c>
      <c r="R442" s="1" t="s">
        <v>3220</v>
      </c>
      <c r="S442" s="1" t="s">
        <v>27</v>
      </c>
      <c r="T442" s="6">
        <v>1</v>
      </c>
      <c r="V442" s="1">
        <v>1.6</v>
      </c>
    </row>
    <row r="443" spans="1:24" x14ac:dyDescent="0.2">
      <c r="A443" s="1" t="s">
        <v>3254</v>
      </c>
      <c r="B443" s="1" t="s">
        <v>55</v>
      </c>
      <c r="C443" s="1" t="s">
        <v>236</v>
      </c>
      <c r="E443" s="1">
        <v>37</v>
      </c>
      <c r="F443" s="1" t="s">
        <v>2036</v>
      </c>
      <c r="H443" s="1" t="s">
        <v>3255</v>
      </c>
      <c r="I443" s="1" t="s">
        <v>7</v>
      </c>
      <c r="J443" s="1" t="s">
        <v>3252</v>
      </c>
      <c r="K443" s="1" t="s">
        <v>2040</v>
      </c>
      <c r="L443" s="1" t="s">
        <v>3252</v>
      </c>
      <c r="M443" s="1" t="s">
        <v>2890</v>
      </c>
      <c r="N443" s="1" t="s">
        <v>3253</v>
      </c>
      <c r="O443" s="1">
        <v>1</v>
      </c>
      <c r="P443" s="1" t="s">
        <v>3219</v>
      </c>
      <c r="Q443" s="1">
        <v>1999</v>
      </c>
      <c r="R443" s="1" t="s">
        <v>3220</v>
      </c>
      <c r="S443" s="1" t="s">
        <v>27</v>
      </c>
      <c r="T443" s="6">
        <v>1</v>
      </c>
      <c r="V443" s="1">
        <v>1.88</v>
      </c>
    </row>
    <row r="444" spans="1:24" x14ac:dyDescent="0.2">
      <c r="A444" s="1" t="s">
        <v>3256</v>
      </c>
      <c r="B444" s="1" t="s">
        <v>55</v>
      </c>
      <c r="C444" s="1" t="s">
        <v>236</v>
      </c>
      <c r="E444" s="1">
        <v>37</v>
      </c>
      <c r="F444" s="1" t="s">
        <v>3257</v>
      </c>
      <c r="H444" s="1" t="s">
        <v>3258</v>
      </c>
      <c r="I444" s="1" t="s">
        <v>7</v>
      </c>
      <c r="J444" s="1" t="s">
        <v>3259</v>
      </c>
      <c r="K444" s="1" t="s">
        <v>3260</v>
      </c>
      <c r="L444" s="1" t="s">
        <v>3261</v>
      </c>
      <c r="N444" s="1" t="s">
        <v>3262</v>
      </c>
      <c r="O444" s="1">
        <v>1</v>
      </c>
      <c r="P444" s="1" t="s">
        <v>3219</v>
      </c>
      <c r="Q444" s="1">
        <v>1999</v>
      </c>
      <c r="R444" s="1" t="s">
        <v>3220</v>
      </c>
      <c r="S444" s="1" t="s">
        <v>27</v>
      </c>
      <c r="T444" s="6">
        <v>1</v>
      </c>
      <c r="V444" s="1">
        <v>1.04</v>
      </c>
    </row>
    <row r="445" spans="1:24" x14ac:dyDescent="0.2">
      <c r="A445" s="1" t="s">
        <v>3263</v>
      </c>
      <c r="B445" s="1" t="s">
        <v>55</v>
      </c>
      <c r="C445" s="1" t="s">
        <v>236</v>
      </c>
      <c r="E445" s="1">
        <v>37</v>
      </c>
      <c r="F445" s="1" t="s">
        <v>3153</v>
      </c>
      <c r="H445" s="1" t="s">
        <v>3264</v>
      </c>
      <c r="I445" s="1" t="s">
        <v>7</v>
      </c>
      <c r="J445" s="1" t="s">
        <v>3156</v>
      </c>
      <c r="K445" s="1" t="s">
        <v>3157</v>
      </c>
      <c r="L445" s="1" t="s">
        <v>3156</v>
      </c>
      <c r="M445" s="1" t="s">
        <v>481</v>
      </c>
      <c r="N445" s="1" t="s">
        <v>3265</v>
      </c>
      <c r="O445" s="1">
        <v>1</v>
      </c>
      <c r="P445" s="1" t="s">
        <v>3219</v>
      </c>
      <c r="Q445" s="1">
        <v>1999</v>
      </c>
      <c r="R445" s="1" t="s">
        <v>3220</v>
      </c>
      <c r="S445" s="1" t="s">
        <v>27</v>
      </c>
      <c r="T445" s="6">
        <v>1</v>
      </c>
      <c r="V445" s="1">
        <v>7.11</v>
      </c>
    </row>
    <row r="446" spans="1:24" x14ac:dyDescent="0.2">
      <c r="A446" s="1" t="s">
        <v>3266</v>
      </c>
      <c r="B446" s="1" t="s">
        <v>55</v>
      </c>
      <c r="C446" s="1" t="s">
        <v>236</v>
      </c>
      <c r="E446" s="1">
        <v>37</v>
      </c>
      <c r="F446" s="1" t="s">
        <v>3267</v>
      </c>
      <c r="H446" s="1" t="s">
        <v>3268</v>
      </c>
      <c r="I446" s="1" t="s">
        <v>7</v>
      </c>
      <c r="J446" s="1" t="s">
        <v>3269</v>
      </c>
      <c r="K446" s="1" t="s">
        <v>3270</v>
      </c>
      <c r="L446" s="1" t="s">
        <v>3269</v>
      </c>
      <c r="M446" s="1" t="s">
        <v>2890</v>
      </c>
      <c r="O446" s="1">
        <v>1</v>
      </c>
      <c r="P446" s="1" t="s">
        <v>3219</v>
      </c>
      <c r="Q446" s="1">
        <v>1999</v>
      </c>
      <c r="R446" s="1" t="s">
        <v>3220</v>
      </c>
      <c r="S446" s="1" t="s">
        <v>27</v>
      </c>
      <c r="T446" s="6">
        <v>1</v>
      </c>
      <c r="V446" s="1">
        <v>1.02</v>
      </c>
    </row>
    <row r="447" spans="1:24" x14ac:dyDescent="0.2">
      <c r="A447" s="1" t="s">
        <v>3271</v>
      </c>
      <c r="B447" s="1" t="s">
        <v>55</v>
      </c>
      <c r="C447" s="1" t="s">
        <v>236</v>
      </c>
      <c r="E447" s="1">
        <v>37</v>
      </c>
      <c r="F447" s="1" t="s">
        <v>3257</v>
      </c>
      <c r="H447" s="1" t="s">
        <v>3258</v>
      </c>
      <c r="I447" s="1" t="s">
        <v>7</v>
      </c>
      <c r="J447" s="1" t="s">
        <v>3259</v>
      </c>
      <c r="K447" s="1" t="s">
        <v>3260</v>
      </c>
      <c r="L447" s="1" t="s">
        <v>3261</v>
      </c>
      <c r="M447" s="1" t="s">
        <v>481</v>
      </c>
      <c r="N447" s="1" t="s">
        <v>3272</v>
      </c>
      <c r="O447" s="1">
        <v>1</v>
      </c>
      <c r="P447" s="1" t="s">
        <v>3219</v>
      </c>
      <c r="Q447" s="1">
        <v>1999</v>
      </c>
      <c r="R447" s="1" t="s">
        <v>3220</v>
      </c>
      <c r="S447" s="1" t="s">
        <v>27</v>
      </c>
      <c r="T447" s="6">
        <v>1</v>
      </c>
      <c r="V447" s="1">
        <v>1.94</v>
      </c>
    </row>
    <row r="448" spans="1:24" x14ac:dyDescent="0.2">
      <c r="A448" s="1" t="s">
        <v>3273</v>
      </c>
      <c r="B448" s="1" t="s">
        <v>55</v>
      </c>
      <c r="C448" s="1" t="s">
        <v>236</v>
      </c>
      <c r="E448" s="1">
        <v>37</v>
      </c>
      <c r="F448" s="1" t="s">
        <v>2036</v>
      </c>
      <c r="H448" s="1" t="s">
        <v>3251</v>
      </c>
      <c r="I448" s="1" t="s">
        <v>7</v>
      </c>
      <c r="J448" s="1" t="s">
        <v>3252</v>
      </c>
      <c r="K448" s="1" t="s">
        <v>2040</v>
      </c>
      <c r="L448" s="1" t="s">
        <v>3252</v>
      </c>
      <c r="M448" s="1" t="s">
        <v>2890</v>
      </c>
      <c r="N448" s="1" t="s">
        <v>3274</v>
      </c>
      <c r="O448" s="1">
        <v>1</v>
      </c>
      <c r="P448" s="1" t="s">
        <v>3219</v>
      </c>
      <c r="Q448" s="1">
        <v>1999</v>
      </c>
      <c r="R448" s="1" t="s">
        <v>3220</v>
      </c>
      <c r="S448" s="1" t="s">
        <v>27</v>
      </c>
      <c r="T448" s="6">
        <v>1</v>
      </c>
      <c r="V448" s="1">
        <v>0.64</v>
      </c>
    </row>
    <row r="449" spans="1:22" x14ac:dyDescent="0.2">
      <c r="A449" s="1" t="s">
        <v>3275</v>
      </c>
      <c r="B449" s="1" t="s">
        <v>55</v>
      </c>
      <c r="C449" s="1" t="s">
        <v>236</v>
      </c>
      <c r="E449" s="1">
        <v>37</v>
      </c>
      <c r="F449" s="1" t="s">
        <v>2017</v>
      </c>
      <c r="H449" s="1" t="s">
        <v>3276</v>
      </c>
      <c r="I449" s="1" t="s">
        <v>7</v>
      </c>
      <c r="J449" s="1" t="s">
        <v>2020</v>
      </c>
      <c r="K449" s="1" t="s">
        <v>2021</v>
      </c>
      <c r="L449" s="1" t="s">
        <v>2020</v>
      </c>
      <c r="M449" s="1" t="s">
        <v>2890</v>
      </c>
      <c r="N449" s="1" t="s">
        <v>3277</v>
      </c>
      <c r="O449" s="1">
        <v>1</v>
      </c>
      <c r="P449" s="1" t="s">
        <v>3219</v>
      </c>
      <c r="Q449" s="1">
        <v>1999</v>
      </c>
      <c r="R449" s="1" t="s">
        <v>3220</v>
      </c>
      <c r="S449" s="1" t="s">
        <v>27</v>
      </c>
      <c r="T449" s="6">
        <v>1</v>
      </c>
      <c r="V449" s="1">
        <v>1.0900000000000001</v>
      </c>
    </row>
    <row r="450" spans="1:22" x14ac:dyDescent="0.2">
      <c r="A450" s="1" t="s">
        <v>3278</v>
      </c>
      <c r="B450" s="1" t="s">
        <v>55</v>
      </c>
      <c r="C450" s="1" t="s">
        <v>236</v>
      </c>
      <c r="E450" s="1">
        <v>37</v>
      </c>
      <c r="F450" s="1" t="s">
        <v>3279</v>
      </c>
      <c r="H450" s="1" t="s">
        <v>3280</v>
      </c>
      <c r="I450" s="1" t="s">
        <v>7</v>
      </c>
      <c r="J450" s="1" t="s">
        <v>3281</v>
      </c>
      <c r="K450" s="1" t="s">
        <v>3282</v>
      </c>
      <c r="L450" s="1" t="s">
        <v>3281</v>
      </c>
      <c r="M450" s="1" t="s">
        <v>2890</v>
      </c>
      <c r="N450" s="1" t="s">
        <v>3283</v>
      </c>
      <c r="O450" s="1">
        <v>1</v>
      </c>
      <c r="P450" s="1" t="s">
        <v>3219</v>
      </c>
      <c r="Q450" s="1">
        <v>1999</v>
      </c>
      <c r="R450" s="1" t="s">
        <v>3220</v>
      </c>
      <c r="S450" s="1" t="s">
        <v>27</v>
      </c>
      <c r="T450" s="6">
        <v>1</v>
      </c>
      <c r="V450" s="1">
        <v>1.34</v>
      </c>
    </row>
    <row r="451" spans="1:22" x14ac:dyDescent="0.2">
      <c r="A451" s="1" t="s">
        <v>3284</v>
      </c>
      <c r="B451" s="1" t="s">
        <v>55</v>
      </c>
      <c r="C451" s="1" t="s">
        <v>236</v>
      </c>
      <c r="E451" s="1">
        <v>37</v>
      </c>
      <c r="F451" s="1" t="s">
        <v>3267</v>
      </c>
      <c r="H451" s="1" t="s">
        <v>3268</v>
      </c>
      <c r="I451" s="1" t="s">
        <v>7</v>
      </c>
      <c r="J451" s="1" t="s">
        <v>3269</v>
      </c>
      <c r="K451" s="1" t="s">
        <v>3270</v>
      </c>
      <c r="L451" s="1" t="s">
        <v>3269</v>
      </c>
      <c r="M451" s="1" t="s">
        <v>2890</v>
      </c>
      <c r="N451" s="1" t="s">
        <v>3285</v>
      </c>
      <c r="O451" s="1">
        <v>1</v>
      </c>
      <c r="P451" s="1" t="s">
        <v>3219</v>
      </c>
      <c r="Q451" s="1">
        <v>1999</v>
      </c>
      <c r="R451" s="1" t="s">
        <v>3220</v>
      </c>
      <c r="S451" s="1" t="s">
        <v>27</v>
      </c>
      <c r="T451" s="6">
        <v>1</v>
      </c>
      <c r="V451" s="1">
        <v>0.88</v>
      </c>
    </row>
    <row r="452" spans="1:22" x14ac:dyDescent="0.2">
      <c r="A452" s="1" t="s">
        <v>3286</v>
      </c>
      <c r="B452" s="1" t="s">
        <v>55</v>
      </c>
      <c r="C452" s="1" t="s">
        <v>236</v>
      </c>
      <c r="E452" s="1">
        <v>37</v>
      </c>
      <c r="F452" s="1" t="s">
        <v>2036</v>
      </c>
      <c r="H452" s="1" t="s">
        <v>3251</v>
      </c>
      <c r="I452" s="1" t="s">
        <v>7</v>
      </c>
      <c r="J452" s="1" t="s">
        <v>3252</v>
      </c>
      <c r="K452" s="1" t="s">
        <v>2040</v>
      </c>
      <c r="L452" s="1" t="s">
        <v>3252</v>
      </c>
      <c r="M452" s="1" t="s">
        <v>2890</v>
      </c>
      <c r="N452" s="1" t="s">
        <v>3287</v>
      </c>
      <c r="O452" s="1">
        <v>1</v>
      </c>
      <c r="P452" s="1" t="s">
        <v>3219</v>
      </c>
      <c r="Q452" s="1">
        <v>1999</v>
      </c>
      <c r="R452" s="1" t="s">
        <v>3220</v>
      </c>
      <c r="S452" s="1" t="s">
        <v>27</v>
      </c>
      <c r="T452" s="6">
        <v>1</v>
      </c>
      <c r="V452" s="1">
        <v>1.01</v>
      </c>
    </row>
    <row r="453" spans="1:22" x14ac:dyDescent="0.2">
      <c r="A453" s="1" t="s">
        <v>3288</v>
      </c>
      <c r="B453" s="1" t="s">
        <v>55</v>
      </c>
      <c r="C453" s="1" t="s">
        <v>236</v>
      </c>
      <c r="E453" s="1">
        <v>37</v>
      </c>
      <c r="F453" s="1" t="s">
        <v>3289</v>
      </c>
      <c r="H453" s="1" t="s">
        <v>3290</v>
      </c>
      <c r="I453" s="1" t="s">
        <v>7</v>
      </c>
      <c r="J453" s="1" t="s">
        <v>3291</v>
      </c>
      <c r="K453" s="1" t="s">
        <v>3292</v>
      </c>
      <c r="L453" s="1" t="s">
        <v>3291</v>
      </c>
      <c r="M453" s="1" t="s">
        <v>2890</v>
      </c>
      <c r="N453" s="1" t="s">
        <v>3293</v>
      </c>
      <c r="O453" s="1">
        <v>1</v>
      </c>
      <c r="P453" s="1" t="s">
        <v>3219</v>
      </c>
      <c r="Q453" s="1">
        <v>1999</v>
      </c>
      <c r="R453" s="1" t="s">
        <v>3220</v>
      </c>
      <c r="S453" s="1" t="s">
        <v>27</v>
      </c>
      <c r="T453" s="6">
        <v>1</v>
      </c>
      <c r="V453" s="1">
        <v>1.61</v>
      </c>
    </row>
    <row r="454" spans="1:22" x14ac:dyDescent="0.2">
      <c r="A454" s="1" t="s">
        <v>3294</v>
      </c>
      <c r="B454" s="1" t="s">
        <v>55</v>
      </c>
      <c r="C454" s="1" t="s">
        <v>236</v>
      </c>
      <c r="E454" s="1">
        <v>37</v>
      </c>
      <c r="F454" s="1" t="s">
        <v>3289</v>
      </c>
      <c r="H454" s="1" t="s">
        <v>3290</v>
      </c>
      <c r="I454" s="1" t="s">
        <v>7</v>
      </c>
      <c r="J454" s="1" t="s">
        <v>3291</v>
      </c>
      <c r="K454" s="1" t="s">
        <v>3292</v>
      </c>
      <c r="L454" s="1" t="s">
        <v>3291</v>
      </c>
      <c r="O454" s="1">
        <v>1</v>
      </c>
      <c r="P454" s="1" t="s">
        <v>3219</v>
      </c>
      <c r="Q454" s="1">
        <v>1999</v>
      </c>
      <c r="R454" s="1" t="s">
        <v>3220</v>
      </c>
      <c r="S454" s="1" t="s">
        <v>27</v>
      </c>
      <c r="T454" s="6">
        <v>1</v>
      </c>
      <c r="V454" s="1">
        <v>1.1599999999999999</v>
      </c>
    </row>
    <row r="455" spans="1:22" x14ac:dyDescent="0.2">
      <c r="A455" s="1" t="s">
        <v>3295</v>
      </c>
      <c r="B455" s="1" t="s">
        <v>55</v>
      </c>
      <c r="C455" s="1" t="s">
        <v>236</v>
      </c>
      <c r="E455" s="1">
        <v>37</v>
      </c>
      <c r="F455" s="1" t="s">
        <v>3153</v>
      </c>
      <c r="H455" s="1" t="s">
        <v>3264</v>
      </c>
      <c r="I455" s="1" t="s">
        <v>7</v>
      </c>
      <c r="J455" s="1" t="s">
        <v>3156</v>
      </c>
      <c r="K455" s="1" t="s">
        <v>3157</v>
      </c>
      <c r="L455" s="1" t="s">
        <v>3156</v>
      </c>
      <c r="M455" s="1" t="s">
        <v>2890</v>
      </c>
      <c r="N455" s="1" t="s">
        <v>3296</v>
      </c>
      <c r="O455" s="1">
        <v>1</v>
      </c>
      <c r="P455" s="1" t="s">
        <v>3219</v>
      </c>
      <c r="Q455" s="1">
        <v>1999</v>
      </c>
      <c r="R455" s="1" t="s">
        <v>3220</v>
      </c>
      <c r="S455" s="1" t="s">
        <v>27</v>
      </c>
      <c r="T455" s="6">
        <v>1</v>
      </c>
      <c r="V455" s="1">
        <v>1.01</v>
      </c>
    </row>
    <row r="456" spans="1:22" x14ac:dyDescent="0.2">
      <c r="A456" s="1" t="s">
        <v>3297</v>
      </c>
      <c r="B456" s="1" t="s">
        <v>55</v>
      </c>
      <c r="C456" s="1" t="s">
        <v>236</v>
      </c>
      <c r="E456" s="1">
        <v>37</v>
      </c>
      <c r="F456" s="1" t="s">
        <v>2390</v>
      </c>
      <c r="H456" s="1" t="s">
        <v>3298</v>
      </c>
      <c r="I456" s="1" t="s">
        <v>7</v>
      </c>
      <c r="J456" s="1" t="s">
        <v>3299</v>
      </c>
      <c r="K456" s="1" t="s">
        <v>2393</v>
      </c>
      <c r="L456" s="1" t="s">
        <v>2394</v>
      </c>
      <c r="M456" s="1" t="s">
        <v>2890</v>
      </c>
      <c r="N456" s="1" t="s">
        <v>3300</v>
      </c>
      <c r="O456" s="1">
        <v>1</v>
      </c>
      <c r="P456" s="1" t="s">
        <v>3219</v>
      </c>
      <c r="Q456" s="1">
        <v>1999</v>
      </c>
      <c r="R456" s="1" t="s">
        <v>3220</v>
      </c>
      <c r="S456" s="1" t="s">
        <v>27</v>
      </c>
      <c r="T456" s="6">
        <v>1</v>
      </c>
      <c r="V456" s="1">
        <v>1.73</v>
      </c>
    </row>
    <row r="457" spans="1:22" x14ac:dyDescent="0.2">
      <c r="A457" s="1" t="s">
        <v>3301</v>
      </c>
      <c r="B457" s="1" t="s">
        <v>55</v>
      </c>
      <c r="C457" s="1" t="s">
        <v>236</v>
      </c>
      <c r="E457" s="1">
        <v>37</v>
      </c>
      <c r="F457" s="1" t="s">
        <v>3302</v>
      </c>
      <c r="H457" s="1" t="s">
        <v>3303</v>
      </c>
      <c r="I457" s="1" t="s">
        <v>7</v>
      </c>
      <c r="J457" s="1" t="s">
        <v>3304</v>
      </c>
      <c r="K457" s="1" t="s">
        <v>3305</v>
      </c>
      <c r="L457" s="1" t="s">
        <v>3306</v>
      </c>
      <c r="M457" s="1" t="s">
        <v>2890</v>
      </c>
      <c r="N457" s="1" t="s">
        <v>3307</v>
      </c>
      <c r="O457" s="1">
        <v>1</v>
      </c>
      <c r="P457" s="1" t="s">
        <v>3219</v>
      </c>
      <c r="Q457" s="1">
        <v>1999</v>
      </c>
      <c r="R457" s="1" t="s">
        <v>3220</v>
      </c>
      <c r="S457" s="1" t="s">
        <v>27</v>
      </c>
      <c r="T457" s="6">
        <v>1</v>
      </c>
      <c r="V457" s="1">
        <v>3.41</v>
      </c>
    </row>
    <row r="458" spans="1:22" x14ac:dyDescent="0.2">
      <c r="A458" s="1" t="s">
        <v>3308</v>
      </c>
      <c r="B458" s="1" t="s">
        <v>55</v>
      </c>
      <c r="C458" s="1" t="s">
        <v>236</v>
      </c>
      <c r="E458" s="1">
        <v>37</v>
      </c>
      <c r="F458" s="1" t="s">
        <v>3302</v>
      </c>
      <c r="H458" s="1" t="s">
        <v>3303</v>
      </c>
      <c r="I458" s="1" t="s">
        <v>7</v>
      </c>
      <c r="J458" s="1" t="s">
        <v>3309</v>
      </c>
      <c r="K458" s="1" t="s">
        <v>3305</v>
      </c>
      <c r="L458" s="1" t="s">
        <v>3306</v>
      </c>
      <c r="M458" s="1" t="s">
        <v>2890</v>
      </c>
      <c r="N458" s="1" t="s">
        <v>3310</v>
      </c>
      <c r="O458" s="1">
        <v>1</v>
      </c>
      <c r="P458" s="1" t="s">
        <v>3219</v>
      </c>
      <c r="Q458" s="1">
        <v>1999</v>
      </c>
      <c r="R458" s="1" t="s">
        <v>3220</v>
      </c>
      <c r="S458" s="1" t="s">
        <v>27</v>
      </c>
      <c r="T458" s="6">
        <v>1</v>
      </c>
      <c r="V458" s="1">
        <v>1.52</v>
      </c>
    </row>
    <row r="459" spans="1:22" x14ac:dyDescent="0.2">
      <c r="A459" s="1" t="s">
        <v>3311</v>
      </c>
      <c r="B459" s="1" t="s">
        <v>55</v>
      </c>
      <c r="C459" s="1" t="s">
        <v>236</v>
      </c>
      <c r="E459" s="1">
        <v>25</v>
      </c>
      <c r="F459" s="1" t="s">
        <v>3312</v>
      </c>
      <c r="H459" s="1" t="s">
        <v>3313</v>
      </c>
      <c r="I459" s="1" t="s">
        <v>7</v>
      </c>
      <c r="J459" s="1" t="s">
        <v>3314</v>
      </c>
      <c r="K459" s="1" t="s">
        <v>3315</v>
      </c>
      <c r="L459" s="1" t="s">
        <v>3314</v>
      </c>
      <c r="M459" s="1" t="s">
        <v>3316</v>
      </c>
      <c r="N459" s="1" t="s">
        <v>3317</v>
      </c>
      <c r="O459" s="1">
        <v>1</v>
      </c>
      <c r="P459" s="1" t="s">
        <v>3219</v>
      </c>
      <c r="Q459" s="1">
        <v>1999</v>
      </c>
      <c r="R459" s="1" t="s">
        <v>3220</v>
      </c>
      <c r="S459" s="1" t="s">
        <v>27</v>
      </c>
      <c r="T459" s="6">
        <v>1</v>
      </c>
      <c r="V459" s="1">
        <v>0.98</v>
      </c>
    </row>
    <row r="460" spans="1:22" x14ac:dyDescent="0.2">
      <c r="A460" s="1" t="s">
        <v>3318</v>
      </c>
      <c r="B460" s="1" t="s">
        <v>55</v>
      </c>
      <c r="C460" s="1" t="s">
        <v>236</v>
      </c>
      <c r="E460" s="1">
        <v>35</v>
      </c>
      <c r="F460" s="1" t="s">
        <v>3319</v>
      </c>
      <c r="H460" s="1" t="s">
        <v>3320</v>
      </c>
      <c r="I460" s="1" t="s">
        <v>7</v>
      </c>
      <c r="J460" s="1" t="s">
        <v>3321</v>
      </c>
      <c r="K460" s="1" t="s">
        <v>3322</v>
      </c>
      <c r="L460" s="1" t="s">
        <v>3321</v>
      </c>
      <c r="M460" s="1" t="s">
        <v>481</v>
      </c>
      <c r="O460" s="1">
        <v>1</v>
      </c>
      <c r="P460" s="1" t="s">
        <v>3219</v>
      </c>
      <c r="Q460" s="1">
        <v>1999</v>
      </c>
      <c r="R460" s="1" t="s">
        <v>3220</v>
      </c>
      <c r="S460" s="1" t="s">
        <v>27</v>
      </c>
      <c r="T460" s="6">
        <v>1</v>
      </c>
      <c r="V460" s="1">
        <v>2.42</v>
      </c>
    </row>
    <row r="461" spans="1:22" x14ac:dyDescent="0.2">
      <c r="A461" s="1" t="s">
        <v>3323</v>
      </c>
      <c r="B461" s="1" t="s">
        <v>55</v>
      </c>
      <c r="C461" s="1" t="s">
        <v>236</v>
      </c>
      <c r="E461" s="1">
        <v>35</v>
      </c>
      <c r="F461" s="1" t="s">
        <v>3324</v>
      </c>
      <c r="H461" s="1" t="s">
        <v>3325</v>
      </c>
      <c r="I461" s="1" t="s">
        <v>7</v>
      </c>
      <c r="J461" s="1" t="s">
        <v>3326</v>
      </c>
      <c r="K461" s="1" t="s">
        <v>3327</v>
      </c>
      <c r="L461" s="1" t="s">
        <v>3326</v>
      </c>
      <c r="M461" s="1" t="s">
        <v>2890</v>
      </c>
      <c r="N461" s="1" t="s">
        <v>3328</v>
      </c>
      <c r="O461" s="1">
        <v>1</v>
      </c>
      <c r="P461" s="1" t="s">
        <v>3219</v>
      </c>
      <c r="Q461" s="1">
        <v>1999</v>
      </c>
      <c r="R461" s="1" t="s">
        <v>3220</v>
      </c>
      <c r="S461" s="1" t="s">
        <v>27</v>
      </c>
      <c r="T461" s="6">
        <v>1</v>
      </c>
    </row>
    <row r="462" spans="1:22" x14ac:dyDescent="0.2">
      <c r="A462" s="1" t="s">
        <v>3329</v>
      </c>
      <c r="B462" s="1" t="s">
        <v>55</v>
      </c>
      <c r="C462" s="1" t="s">
        <v>236</v>
      </c>
      <c r="E462" s="1">
        <v>35</v>
      </c>
      <c r="F462" s="1" t="s">
        <v>3324</v>
      </c>
      <c r="H462" s="1" t="s">
        <v>3325</v>
      </c>
      <c r="I462" s="1" t="s">
        <v>7</v>
      </c>
      <c r="J462" s="1" t="s">
        <v>3326</v>
      </c>
      <c r="K462" s="1" t="s">
        <v>3327</v>
      </c>
      <c r="L462" s="1" t="s">
        <v>3326</v>
      </c>
      <c r="M462" s="1" t="s">
        <v>2890</v>
      </c>
      <c r="N462" s="1" t="s">
        <v>3330</v>
      </c>
      <c r="O462" s="1">
        <v>1</v>
      </c>
      <c r="P462" s="1" t="s">
        <v>3219</v>
      </c>
      <c r="Q462" s="1">
        <v>1999</v>
      </c>
      <c r="R462" s="1" t="s">
        <v>3220</v>
      </c>
      <c r="S462" s="1" t="s">
        <v>27</v>
      </c>
      <c r="T462" s="6">
        <v>1</v>
      </c>
      <c r="V462" s="1">
        <v>1.56</v>
      </c>
    </row>
    <row r="463" spans="1:22" x14ac:dyDescent="0.2">
      <c r="A463" s="1" t="s">
        <v>3331</v>
      </c>
      <c r="B463" s="1" t="s">
        <v>55</v>
      </c>
      <c r="C463" s="1" t="s">
        <v>236</v>
      </c>
      <c r="E463" s="1">
        <v>12</v>
      </c>
      <c r="F463" s="1" t="s">
        <v>1551</v>
      </c>
      <c r="H463" s="1" t="s">
        <v>3332</v>
      </c>
      <c r="I463" s="1" t="s">
        <v>7</v>
      </c>
      <c r="J463" s="1" t="s">
        <v>3333</v>
      </c>
      <c r="K463" s="1" t="s">
        <v>1554</v>
      </c>
      <c r="L463" s="1" t="s">
        <v>1553</v>
      </c>
      <c r="M463" s="1" t="s">
        <v>3316</v>
      </c>
      <c r="N463" s="1" t="s">
        <v>3334</v>
      </c>
      <c r="O463" s="1">
        <v>1</v>
      </c>
      <c r="P463" s="1" t="s">
        <v>3219</v>
      </c>
      <c r="Q463" s="1">
        <v>1999</v>
      </c>
      <c r="R463" s="1" t="s">
        <v>3220</v>
      </c>
      <c r="S463" s="1" t="s">
        <v>27</v>
      </c>
      <c r="T463" s="6">
        <v>1</v>
      </c>
      <c r="V463" s="1">
        <v>0.51</v>
      </c>
    </row>
    <row r="464" spans="1:22" x14ac:dyDescent="0.2">
      <c r="A464" s="1" t="s">
        <v>3335</v>
      </c>
      <c r="B464" s="1" t="s">
        <v>55</v>
      </c>
      <c r="C464" s="1" t="s">
        <v>236</v>
      </c>
      <c r="E464" s="1">
        <v>12</v>
      </c>
      <c r="F464" s="1" t="s">
        <v>3336</v>
      </c>
      <c r="H464" s="1" t="s">
        <v>3337</v>
      </c>
      <c r="I464" s="1" t="s">
        <v>7</v>
      </c>
      <c r="J464" s="1" t="s">
        <v>3338</v>
      </c>
      <c r="K464" s="1" t="s">
        <v>3339</v>
      </c>
      <c r="L464" s="1" t="s">
        <v>3338</v>
      </c>
      <c r="M464" s="1" t="s">
        <v>3316</v>
      </c>
      <c r="N464" s="1" t="s">
        <v>3340</v>
      </c>
      <c r="O464" s="1">
        <v>1</v>
      </c>
      <c r="P464" s="1" t="s">
        <v>3219</v>
      </c>
      <c r="Q464" s="1">
        <v>1999</v>
      </c>
      <c r="R464" s="1" t="s">
        <v>3220</v>
      </c>
      <c r="S464" s="1" t="s">
        <v>27</v>
      </c>
      <c r="T464" s="6">
        <v>1</v>
      </c>
      <c r="V464" s="1">
        <v>0.71</v>
      </c>
    </row>
    <row r="465" spans="1:22" x14ac:dyDescent="0.2">
      <c r="A465" s="1" t="s">
        <v>3341</v>
      </c>
      <c r="B465" s="1" t="s">
        <v>55</v>
      </c>
      <c r="C465" s="1" t="s">
        <v>236</v>
      </c>
      <c r="E465" s="1">
        <v>24</v>
      </c>
      <c r="F465" s="1" t="s">
        <v>3342</v>
      </c>
      <c r="H465" s="1" t="s">
        <v>3343</v>
      </c>
      <c r="I465" s="1" t="s">
        <v>7</v>
      </c>
      <c r="J465" s="1" t="s">
        <v>3344</v>
      </c>
      <c r="K465" s="1" t="s">
        <v>3345</v>
      </c>
      <c r="L465" s="1" t="s">
        <v>3346</v>
      </c>
      <c r="M465" s="1" t="s">
        <v>3226</v>
      </c>
      <c r="N465" s="1" t="s">
        <v>3347</v>
      </c>
      <c r="O465" s="1">
        <v>1</v>
      </c>
      <c r="P465" s="1" t="s">
        <v>3219</v>
      </c>
      <c r="Q465" s="1">
        <v>1999</v>
      </c>
      <c r="R465" s="1" t="s">
        <v>3220</v>
      </c>
      <c r="S465" s="1" t="s">
        <v>27</v>
      </c>
      <c r="T465" s="6">
        <v>1</v>
      </c>
      <c r="V465" s="1">
        <v>4.9000000000000004</v>
      </c>
    </row>
    <row r="466" spans="1:22" x14ac:dyDescent="0.2">
      <c r="A466" s="1" t="s">
        <v>3348</v>
      </c>
      <c r="B466" s="1" t="s">
        <v>55</v>
      </c>
      <c r="C466" s="1" t="s">
        <v>236</v>
      </c>
      <c r="E466" s="1">
        <v>24</v>
      </c>
      <c r="F466" s="1" t="s">
        <v>3342</v>
      </c>
      <c r="H466" s="1" t="s">
        <v>3343</v>
      </c>
      <c r="I466" s="1" t="s">
        <v>7</v>
      </c>
      <c r="J466" s="1" t="s">
        <v>3344</v>
      </c>
      <c r="K466" s="1" t="s">
        <v>3345</v>
      </c>
      <c r="L466" s="1" t="s">
        <v>3346</v>
      </c>
      <c r="M466" s="1" t="s">
        <v>481</v>
      </c>
      <c r="N466" s="1" t="s">
        <v>3349</v>
      </c>
      <c r="O466" s="1">
        <v>1</v>
      </c>
      <c r="P466" s="1" t="s">
        <v>3219</v>
      </c>
      <c r="Q466" s="1">
        <v>1999</v>
      </c>
      <c r="R466" s="1" t="s">
        <v>3220</v>
      </c>
      <c r="S466" s="1" t="s">
        <v>27</v>
      </c>
      <c r="T466" s="6">
        <v>1</v>
      </c>
      <c r="V466" s="1">
        <v>6.3</v>
      </c>
    </row>
    <row r="467" spans="1:22" x14ac:dyDescent="0.2">
      <c r="A467" s="1" t="s">
        <v>3350</v>
      </c>
      <c r="B467" s="1" t="s">
        <v>55</v>
      </c>
      <c r="C467" s="1" t="s">
        <v>236</v>
      </c>
      <c r="E467" s="1">
        <v>24</v>
      </c>
      <c r="F467" s="1" t="s">
        <v>3342</v>
      </c>
      <c r="H467" s="1" t="s">
        <v>3343</v>
      </c>
      <c r="I467" s="1" t="s">
        <v>7</v>
      </c>
      <c r="J467" s="1" t="s">
        <v>3344</v>
      </c>
      <c r="K467" s="1" t="s">
        <v>3345</v>
      </c>
      <c r="L467" s="1" t="s">
        <v>3346</v>
      </c>
      <c r="M467" s="1" t="s">
        <v>2890</v>
      </c>
      <c r="N467" s="1" t="s">
        <v>3351</v>
      </c>
      <c r="O467" s="1">
        <v>1</v>
      </c>
      <c r="P467" s="1" t="s">
        <v>3219</v>
      </c>
      <c r="Q467" s="1">
        <v>1999</v>
      </c>
      <c r="R467" s="1" t="s">
        <v>3220</v>
      </c>
      <c r="S467" s="1" t="s">
        <v>27</v>
      </c>
      <c r="T467" s="6">
        <v>1</v>
      </c>
      <c r="V467" s="1">
        <v>1.46</v>
      </c>
    </row>
    <row r="468" spans="1:22" x14ac:dyDescent="0.2">
      <c r="A468" s="1" t="s">
        <v>3352</v>
      </c>
      <c r="B468" s="1" t="s">
        <v>55</v>
      </c>
      <c r="C468" s="1" t="s">
        <v>236</v>
      </c>
      <c r="E468" s="1">
        <v>35</v>
      </c>
      <c r="F468" s="1" t="s">
        <v>3353</v>
      </c>
      <c r="H468" s="1" t="s">
        <v>3354</v>
      </c>
      <c r="I468" s="1" t="s">
        <v>7</v>
      </c>
      <c r="J468" s="1" t="s">
        <v>3355</v>
      </c>
      <c r="K468" s="1" t="s">
        <v>3356</v>
      </c>
      <c r="L468" s="1" t="s">
        <v>3355</v>
      </c>
      <c r="M468" s="1" t="s">
        <v>2890</v>
      </c>
      <c r="N468" s="1" t="s">
        <v>3357</v>
      </c>
      <c r="O468" s="1">
        <v>1</v>
      </c>
      <c r="P468" s="1" t="s">
        <v>3219</v>
      </c>
      <c r="Q468" s="1">
        <v>1999</v>
      </c>
      <c r="R468" s="1" t="s">
        <v>3220</v>
      </c>
      <c r="S468" s="1" t="s">
        <v>27</v>
      </c>
      <c r="T468" s="6">
        <v>1</v>
      </c>
      <c r="V468" s="1">
        <v>0.94</v>
      </c>
    </row>
    <row r="469" spans="1:22" x14ac:dyDescent="0.2">
      <c r="A469" s="1" t="s">
        <v>3358</v>
      </c>
      <c r="B469" s="1" t="s">
        <v>55</v>
      </c>
      <c r="C469" s="1" t="s">
        <v>236</v>
      </c>
      <c r="E469" s="1">
        <v>35</v>
      </c>
      <c r="F469" s="1" t="s">
        <v>3359</v>
      </c>
      <c r="H469" s="1" t="s">
        <v>3360</v>
      </c>
      <c r="I469" s="1" t="s">
        <v>7</v>
      </c>
      <c r="J469" s="1" t="s">
        <v>3361</v>
      </c>
      <c r="K469" s="1" t="s">
        <v>3362</v>
      </c>
      <c r="L469" s="1" t="s">
        <v>3361</v>
      </c>
      <c r="M469" s="1" t="s">
        <v>2890</v>
      </c>
      <c r="N469" s="1" t="s">
        <v>3363</v>
      </c>
      <c r="O469" s="1">
        <v>1</v>
      </c>
      <c r="P469" s="1" t="s">
        <v>3219</v>
      </c>
      <c r="Q469" s="1">
        <v>1999</v>
      </c>
      <c r="R469" s="1" t="s">
        <v>3220</v>
      </c>
      <c r="S469" s="1" t="s">
        <v>27</v>
      </c>
      <c r="T469" s="6">
        <v>1</v>
      </c>
      <c r="V469" s="1">
        <v>1.8</v>
      </c>
    </row>
    <row r="470" spans="1:22" x14ac:dyDescent="0.2">
      <c r="A470" s="1" t="s">
        <v>3364</v>
      </c>
      <c r="B470" s="1" t="s">
        <v>55</v>
      </c>
      <c r="C470" s="1" t="s">
        <v>236</v>
      </c>
      <c r="E470" s="1">
        <v>35</v>
      </c>
      <c r="F470" s="1" t="s">
        <v>3365</v>
      </c>
      <c r="H470" s="1" t="s">
        <v>3366</v>
      </c>
      <c r="I470" s="1" t="s">
        <v>7</v>
      </c>
      <c r="J470" s="1" t="s">
        <v>3367</v>
      </c>
      <c r="K470" s="1" t="s">
        <v>3368</v>
      </c>
      <c r="L470" s="1" t="s">
        <v>3369</v>
      </c>
      <c r="M470" s="1" t="s">
        <v>758</v>
      </c>
      <c r="N470" s="1" t="s">
        <v>3370</v>
      </c>
      <c r="O470" s="1">
        <v>1</v>
      </c>
      <c r="P470" s="1" t="s">
        <v>3219</v>
      </c>
      <c r="Q470" s="1">
        <v>1999</v>
      </c>
      <c r="R470" s="1" t="s">
        <v>3220</v>
      </c>
      <c r="S470" s="1" t="s">
        <v>27</v>
      </c>
      <c r="T470" s="6">
        <v>1</v>
      </c>
      <c r="V470" s="1">
        <v>4.34</v>
      </c>
    </row>
    <row r="471" spans="1:22" x14ac:dyDescent="0.2">
      <c r="A471" s="1" t="s">
        <v>3371</v>
      </c>
      <c r="B471" s="1" t="s">
        <v>55</v>
      </c>
      <c r="C471" s="1" t="s">
        <v>236</v>
      </c>
      <c r="E471" s="1">
        <v>31</v>
      </c>
      <c r="F471" s="1" t="s">
        <v>3372</v>
      </c>
      <c r="H471" s="1" t="s">
        <v>3373</v>
      </c>
      <c r="I471" s="1" t="s">
        <v>7</v>
      </c>
      <c r="J471" s="1" t="s">
        <v>3374</v>
      </c>
      <c r="K471" s="1" t="s">
        <v>3375</v>
      </c>
      <c r="L471" s="1" t="s">
        <v>3374</v>
      </c>
      <c r="M471" s="1" t="s">
        <v>2890</v>
      </c>
      <c r="N471" s="1" t="s">
        <v>3376</v>
      </c>
      <c r="O471" s="1">
        <v>1</v>
      </c>
      <c r="P471" s="1" t="s">
        <v>3219</v>
      </c>
      <c r="Q471" s="1">
        <v>1999</v>
      </c>
      <c r="R471" s="1" t="s">
        <v>3220</v>
      </c>
      <c r="S471" s="1" t="s">
        <v>27</v>
      </c>
      <c r="T471" s="6">
        <v>1</v>
      </c>
      <c r="V471" s="1">
        <v>0.47</v>
      </c>
    </row>
    <row r="472" spans="1:22" x14ac:dyDescent="0.2">
      <c r="A472" s="1" t="s">
        <v>3377</v>
      </c>
      <c r="B472" s="1" t="s">
        <v>55</v>
      </c>
      <c r="C472" s="1" t="s">
        <v>236</v>
      </c>
      <c r="E472" s="1">
        <v>31</v>
      </c>
      <c r="F472" s="1" t="s">
        <v>3378</v>
      </c>
      <c r="H472" s="1" t="s">
        <v>3244</v>
      </c>
      <c r="I472" s="1" t="s">
        <v>7</v>
      </c>
      <c r="J472" s="1" t="s">
        <v>3379</v>
      </c>
      <c r="K472" s="1" t="s">
        <v>3380</v>
      </c>
      <c r="L472" s="1" t="s">
        <v>3381</v>
      </c>
      <c r="M472" s="1" t="s">
        <v>2890</v>
      </c>
      <c r="N472" s="1" t="s">
        <v>3382</v>
      </c>
      <c r="O472" s="1">
        <v>1</v>
      </c>
      <c r="P472" s="1" t="s">
        <v>3219</v>
      </c>
      <c r="Q472" s="1">
        <v>1999</v>
      </c>
      <c r="R472" s="1" t="s">
        <v>3220</v>
      </c>
      <c r="S472" s="1" t="s">
        <v>27</v>
      </c>
      <c r="T472" s="6">
        <v>1</v>
      </c>
      <c r="V472" s="1">
        <v>0.24</v>
      </c>
    </row>
    <row r="473" spans="1:22" x14ac:dyDescent="0.2">
      <c r="A473" s="1" t="s">
        <v>3383</v>
      </c>
      <c r="B473" s="1" t="s">
        <v>55</v>
      </c>
      <c r="C473" s="1" t="s">
        <v>236</v>
      </c>
      <c r="E473" s="1">
        <v>11</v>
      </c>
      <c r="F473" s="1" t="s">
        <v>2132</v>
      </c>
      <c r="H473" s="1" t="s">
        <v>3384</v>
      </c>
      <c r="I473" s="1" t="s">
        <v>7</v>
      </c>
      <c r="J473" s="1" t="s">
        <v>3385</v>
      </c>
      <c r="K473" s="1" t="s">
        <v>2136</v>
      </c>
      <c r="L473" s="1" t="s">
        <v>2135</v>
      </c>
      <c r="O473" s="1">
        <v>1</v>
      </c>
      <c r="P473" s="1" t="s">
        <v>3219</v>
      </c>
      <c r="Q473" s="1">
        <v>1999</v>
      </c>
      <c r="R473" s="1" t="s">
        <v>3220</v>
      </c>
      <c r="S473" s="1" t="s">
        <v>27</v>
      </c>
      <c r="T473" s="6">
        <v>1</v>
      </c>
    </row>
    <row r="474" spans="1:22" x14ac:dyDescent="0.2">
      <c r="A474" s="1" t="s">
        <v>3386</v>
      </c>
      <c r="B474" s="1" t="s">
        <v>55</v>
      </c>
      <c r="C474" s="1" t="s">
        <v>236</v>
      </c>
      <c r="E474" s="1">
        <v>11</v>
      </c>
      <c r="F474" s="1" t="s">
        <v>2124</v>
      </c>
      <c r="H474" s="1" t="s">
        <v>3387</v>
      </c>
      <c r="I474" s="1" t="s">
        <v>7</v>
      </c>
      <c r="J474" s="1" t="s">
        <v>2165</v>
      </c>
      <c r="K474" s="1" t="s">
        <v>2128</v>
      </c>
      <c r="L474" s="1" t="s">
        <v>2165</v>
      </c>
      <c r="O474" s="1">
        <v>1</v>
      </c>
      <c r="P474" s="1" t="s">
        <v>3219</v>
      </c>
      <c r="Q474" s="1">
        <v>1999</v>
      </c>
      <c r="R474" s="1" t="s">
        <v>3220</v>
      </c>
      <c r="S474" s="1" t="s">
        <v>27</v>
      </c>
      <c r="T474" s="6">
        <v>1</v>
      </c>
    </row>
    <row r="475" spans="1:22" x14ac:dyDescent="0.2">
      <c r="A475" s="1" t="s">
        <v>3388</v>
      </c>
      <c r="B475" s="1" t="s">
        <v>55</v>
      </c>
      <c r="C475" s="1" t="s">
        <v>236</v>
      </c>
      <c r="E475" s="1">
        <v>33</v>
      </c>
      <c r="F475" s="1" t="s">
        <v>3389</v>
      </c>
      <c r="H475" s="1" t="s">
        <v>3390</v>
      </c>
      <c r="I475" s="1" t="s">
        <v>7</v>
      </c>
      <c r="J475" s="1" t="s">
        <v>3391</v>
      </c>
      <c r="K475" s="1" t="s">
        <v>3392</v>
      </c>
      <c r="L475" s="1" t="s">
        <v>3391</v>
      </c>
      <c r="M475" s="1" t="s">
        <v>3316</v>
      </c>
      <c r="N475" s="1" t="s">
        <v>3393</v>
      </c>
      <c r="O475" s="1">
        <v>1</v>
      </c>
      <c r="P475" s="1" t="s">
        <v>3219</v>
      </c>
      <c r="Q475" s="1">
        <v>1999</v>
      </c>
      <c r="R475" s="1" t="s">
        <v>3220</v>
      </c>
      <c r="S475" s="1" t="s">
        <v>27</v>
      </c>
      <c r="T475" s="6">
        <v>1</v>
      </c>
      <c r="V475" s="1">
        <v>0.47</v>
      </c>
    </row>
    <row r="476" spans="1:22" x14ac:dyDescent="0.2">
      <c r="A476" s="1" t="s">
        <v>3394</v>
      </c>
      <c r="B476" s="1" t="s">
        <v>55</v>
      </c>
      <c r="C476" s="1" t="s">
        <v>236</v>
      </c>
      <c r="E476" s="1">
        <v>35</v>
      </c>
      <c r="F476" s="1" t="s">
        <v>3395</v>
      </c>
      <c r="H476" s="1" t="s">
        <v>3396</v>
      </c>
      <c r="I476" s="1" t="s">
        <v>7</v>
      </c>
      <c r="J476" s="1" t="s">
        <v>3397</v>
      </c>
      <c r="K476" s="1" t="s">
        <v>3398</v>
      </c>
      <c r="L476" s="1" t="s">
        <v>3399</v>
      </c>
      <c r="M476" s="1" t="s">
        <v>817</v>
      </c>
      <c r="N476" s="1" t="s">
        <v>3347</v>
      </c>
      <c r="O476" s="1">
        <v>1</v>
      </c>
      <c r="P476" s="1" t="s">
        <v>3219</v>
      </c>
      <c r="Q476" s="1">
        <v>1999</v>
      </c>
      <c r="R476" s="1" t="s">
        <v>3220</v>
      </c>
      <c r="S476" s="1" t="s">
        <v>27</v>
      </c>
      <c r="T476" s="6">
        <v>1</v>
      </c>
      <c r="V476" s="1">
        <v>3.15</v>
      </c>
    </row>
    <row r="477" spans="1:22" x14ac:dyDescent="0.2">
      <c r="A477" s="1" t="s">
        <v>3400</v>
      </c>
      <c r="B477" s="1" t="s">
        <v>55</v>
      </c>
      <c r="C477" s="1" t="s">
        <v>236</v>
      </c>
      <c r="E477" s="1">
        <v>33</v>
      </c>
      <c r="F477" s="1" t="s">
        <v>3401</v>
      </c>
      <c r="H477" s="1" t="s">
        <v>3402</v>
      </c>
      <c r="I477" s="1" t="s">
        <v>7</v>
      </c>
      <c r="J477" s="1" t="s">
        <v>3403</v>
      </c>
      <c r="K477" s="1" t="s">
        <v>3404</v>
      </c>
      <c r="L477" s="1" t="s">
        <v>3403</v>
      </c>
      <c r="M477" s="1" t="s">
        <v>2890</v>
      </c>
      <c r="N477" s="1" t="s">
        <v>3405</v>
      </c>
      <c r="O477" s="1">
        <v>1</v>
      </c>
      <c r="P477" s="1" t="s">
        <v>3219</v>
      </c>
      <c r="Q477" s="1">
        <v>1999</v>
      </c>
      <c r="R477" s="1" t="s">
        <v>3220</v>
      </c>
      <c r="S477" s="1" t="s">
        <v>27</v>
      </c>
      <c r="T477" s="6">
        <v>1</v>
      </c>
      <c r="V477" s="1">
        <v>3.19</v>
      </c>
    </row>
    <row r="478" spans="1:22" x14ac:dyDescent="0.2">
      <c r="A478" s="1" t="s">
        <v>3406</v>
      </c>
      <c r="B478" s="1" t="s">
        <v>55</v>
      </c>
      <c r="C478" s="1" t="s">
        <v>236</v>
      </c>
      <c r="E478" s="1">
        <v>33</v>
      </c>
      <c r="F478" s="1" t="s">
        <v>3407</v>
      </c>
      <c r="H478" s="1" t="s">
        <v>3408</v>
      </c>
      <c r="I478" s="1" t="s">
        <v>7</v>
      </c>
      <c r="J478" s="1" t="s">
        <v>3409</v>
      </c>
      <c r="K478" s="1" t="s">
        <v>3410</v>
      </c>
      <c r="L478" s="1" t="s">
        <v>3411</v>
      </c>
      <c r="N478" s="1" t="s">
        <v>3412</v>
      </c>
      <c r="O478" s="1">
        <v>1</v>
      </c>
      <c r="P478" s="1" t="s">
        <v>3219</v>
      </c>
      <c r="Q478" s="1">
        <v>1999</v>
      </c>
      <c r="R478" s="1" t="s">
        <v>3220</v>
      </c>
      <c r="S478" s="1" t="s">
        <v>27</v>
      </c>
      <c r="T478" s="6">
        <v>1</v>
      </c>
      <c r="V478" s="1">
        <v>2.35</v>
      </c>
    </row>
    <row r="479" spans="1:22" x14ac:dyDescent="0.2">
      <c r="A479" s="1" t="s">
        <v>3413</v>
      </c>
      <c r="B479" s="1" t="s">
        <v>55</v>
      </c>
      <c r="C479" s="1" t="s">
        <v>236</v>
      </c>
      <c r="E479" s="1">
        <v>34</v>
      </c>
      <c r="F479" s="1" t="s">
        <v>3407</v>
      </c>
      <c r="H479" s="1" t="s">
        <v>3408</v>
      </c>
      <c r="I479" s="1" t="s">
        <v>7</v>
      </c>
      <c r="J479" s="1" t="s">
        <v>3409</v>
      </c>
      <c r="K479" s="1" t="s">
        <v>3410</v>
      </c>
      <c r="L479" s="1" t="s">
        <v>3411</v>
      </c>
      <c r="M479" s="1" t="s">
        <v>481</v>
      </c>
      <c r="N479" s="1" t="s">
        <v>3414</v>
      </c>
      <c r="O479" s="1">
        <v>1</v>
      </c>
      <c r="P479" s="1" t="s">
        <v>3219</v>
      </c>
      <c r="Q479" s="1">
        <v>1999</v>
      </c>
      <c r="R479" s="1" t="s">
        <v>3220</v>
      </c>
      <c r="S479" s="1" t="s">
        <v>27</v>
      </c>
      <c r="T479" s="6">
        <v>1</v>
      </c>
      <c r="V479" s="1">
        <v>2.2000000000000002</v>
      </c>
    </row>
    <row r="480" spans="1:22" x14ac:dyDescent="0.2">
      <c r="A480" s="1" t="s">
        <v>3415</v>
      </c>
      <c r="B480" s="1" t="s">
        <v>55</v>
      </c>
      <c r="C480" s="1" t="s">
        <v>236</v>
      </c>
      <c r="E480" s="1">
        <v>33</v>
      </c>
      <c r="F480" s="1" t="s">
        <v>3416</v>
      </c>
      <c r="H480" s="1" t="s">
        <v>3417</v>
      </c>
      <c r="I480" s="1" t="s">
        <v>7</v>
      </c>
      <c r="J480" s="1" t="s">
        <v>3418</v>
      </c>
      <c r="L480" s="1" t="s">
        <v>3419</v>
      </c>
      <c r="M480" s="1" t="s">
        <v>817</v>
      </c>
      <c r="N480" s="1" t="s">
        <v>3420</v>
      </c>
      <c r="O480" s="1">
        <v>1</v>
      </c>
      <c r="P480" s="1" t="s">
        <v>3219</v>
      </c>
      <c r="Q480" s="1">
        <v>1999</v>
      </c>
      <c r="R480" s="1" t="s">
        <v>3220</v>
      </c>
      <c r="S480" s="1" t="s">
        <v>27</v>
      </c>
      <c r="T480" s="6">
        <v>1</v>
      </c>
      <c r="V480" s="1">
        <v>4.63</v>
      </c>
    </row>
    <row r="481" spans="1:22" x14ac:dyDescent="0.2">
      <c r="A481" s="1" t="s">
        <v>3421</v>
      </c>
      <c r="B481" s="1" t="s">
        <v>55</v>
      </c>
      <c r="C481" s="1" t="s">
        <v>236</v>
      </c>
      <c r="E481" s="1">
        <v>33</v>
      </c>
      <c r="F481" s="1" t="s">
        <v>3422</v>
      </c>
      <c r="H481" s="1" t="s">
        <v>3423</v>
      </c>
      <c r="I481" s="1" t="s">
        <v>7</v>
      </c>
      <c r="J481" s="1" t="s">
        <v>3424</v>
      </c>
      <c r="K481" s="1" t="s">
        <v>3425</v>
      </c>
      <c r="L481" s="1" t="s">
        <v>3424</v>
      </c>
      <c r="M481" s="1" t="s">
        <v>2890</v>
      </c>
      <c r="O481" s="1">
        <v>1</v>
      </c>
      <c r="P481" s="1" t="s">
        <v>3219</v>
      </c>
      <c r="Q481" s="1">
        <v>1999</v>
      </c>
      <c r="R481" s="1" t="s">
        <v>3220</v>
      </c>
      <c r="S481" s="1" t="s">
        <v>27</v>
      </c>
      <c r="T481" s="6">
        <v>1</v>
      </c>
      <c r="V481" s="1">
        <v>0.67</v>
      </c>
    </row>
    <row r="482" spans="1:22" x14ac:dyDescent="0.2">
      <c r="A482" s="1" t="s">
        <v>3426</v>
      </c>
      <c r="B482" s="1" t="s">
        <v>55</v>
      </c>
      <c r="C482" s="1" t="s">
        <v>236</v>
      </c>
      <c r="E482" s="1">
        <v>33</v>
      </c>
      <c r="F482" s="1" t="s">
        <v>3416</v>
      </c>
      <c r="H482" s="1" t="s">
        <v>3417</v>
      </c>
      <c r="I482" s="1" t="s">
        <v>7</v>
      </c>
      <c r="J482" s="1" t="s">
        <v>3427</v>
      </c>
      <c r="L482" s="1" t="s">
        <v>3419</v>
      </c>
      <c r="M482" s="1" t="s">
        <v>2890</v>
      </c>
      <c r="N482" s="1" t="s">
        <v>3428</v>
      </c>
      <c r="O482" s="1">
        <v>1</v>
      </c>
      <c r="P482" s="1" t="s">
        <v>3219</v>
      </c>
      <c r="Q482" s="1">
        <v>1999</v>
      </c>
      <c r="R482" s="1" t="s">
        <v>3220</v>
      </c>
      <c r="S482" s="1" t="s">
        <v>27</v>
      </c>
      <c r="T482" s="6">
        <v>1</v>
      </c>
      <c r="V482" s="1">
        <v>0.93</v>
      </c>
    </row>
    <row r="483" spans="1:22" x14ac:dyDescent="0.2">
      <c r="A483" s="1" t="s">
        <v>3429</v>
      </c>
      <c r="B483" s="1" t="s">
        <v>55</v>
      </c>
      <c r="C483" s="1" t="s">
        <v>236</v>
      </c>
      <c r="E483" s="1">
        <v>37</v>
      </c>
      <c r="F483" s="1" t="s">
        <v>3430</v>
      </c>
      <c r="H483" s="1" t="s">
        <v>3431</v>
      </c>
      <c r="I483" s="1" t="s">
        <v>7</v>
      </c>
      <c r="J483" s="1" t="s">
        <v>3432</v>
      </c>
      <c r="L483" s="1" t="s">
        <v>3433</v>
      </c>
      <c r="M483" s="1" t="s">
        <v>481</v>
      </c>
      <c r="O483" s="1">
        <v>1</v>
      </c>
      <c r="P483" s="1" t="s">
        <v>3219</v>
      </c>
      <c r="Q483" s="1">
        <v>1999</v>
      </c>
      <c r="R483" s="1" t="s">
        <v>3220</v>
      </c>
      <c r="S483" s="1" t="s">
        <v>27</v>
      </c>
      <c r="T483" s="6">
        <v>1</v>
      </c>
      <c r="V483" s="1">
        <v>1.74</v>
      </c>
    </row>
    <row r="484" spans="1:22" x14ac:dyDescent="0.2">
      <c r="A484" s="1" t="s">
        <v>3434</v>
      </c>
      <c r="B484" s="1" t="s">
        <v>55</v>
      </c>
      <c r="C484" s="1" t="s">
        <v>236</v>
      </c>
      <c r="E484" s="1">
        <v>37</v>
      </c>
      <c r="F484" s="1" t="s">
        <v>3435</v>
      </c>
      <c r="H484" s="1" t="s">
        <v>3436</v>
      </c>
      <c r="I484" s="1" t="s">
        <v>7</v>
      </c>
      <c r="J484" s="1" t="s">
        <v>3437</v>
      </c>
      <c r="K484" s="1" t="s">
        <v>3438</v>
      </c>
      <c r="L484" s="1" t="s">
        <v>3437</v>
      </c>
      <c r="M484" s="1" t="s">
        <v>3226</v>
      </c>
      <c r="N484" s="1" t="s">
        <v>3439</v>
      </c>
      <c r="O484" s="1">
        <v>1</v>
      </c>
      <c r="P484" s="1" t="s">
        <v>3219</v>
      </c>
      <c r="Q484" s="1">
        <v>1999</v>
      </c>
      <c r="R484" s="1" t="s">
        <v>3220</v>
      </c>
      <c r="S484" s="1" t="s">
        <v>27</v>
      </c>
      <c r="T484" s="6">
        <v>1</v>
      </c>
      <c r="V484" s="1">
        <v>6</v>
      </c>
    </row>
    <row r="485" spans="1:22" x14ac:dyDescent="0.2">
      <c r="A485" s="1" t="s">
        <v>3440</v>
      </c>
      <c r="B485" s="1" t="s">
        <v>55</v>
      </c>
      <c r="C485" s="1" t="s">
        <v>236</v>
      </c>
      <c r="E485" s="1">
        <v>33</v>
      </c>
      <c r="F485" s="1" t="s">
        <v>3441</v>
      </c>
      <c r="H485" s="1" t="s">
        <v>3442</v>
      </c>
      <c r="I485" s="1" t="s">
        <v>7</v>
      </c>
      <c r="J485" s="1" t="s">
        <v>3443</v>
      </c>
      <c r="K485" s="1" t="s">
        <v>3444</v>
      </c>
      <c r="L485" s="1" t="s">
        <v>3443</v>
      </c>
      <c r="M485" s="1" t="s">
        <v>749</v>
      </c>
      <c r="O485" s="1">
        <v>1</v>
      </c>
      <c r="P485" s="1" t="s">
        <v>3219</v>
      </c>
      <c r="Q485" s="1">
        <v>1999</v>
      </c>
      <c r="R485" s="1" t="s">
        <v>3220</v>
      </c>
      <c r="S485" s="1" t="s">
        <v>27</v>
      </c>
      <c r="T485" s="6">
        <v>1</v>
      </c>
    </row>
    <row r="486" spans="1:22" x14ac:dyDescent="0.2">
      <c r="A486" s="1" t="s">
        <v>3445</v>
      </c>
      <c r="B486" s="1" t="s">
        <v>55</v>
      </c>
      <c r="C486" s="1" t="s">
        <v>236</v>
      </c>
      <c r="E486" s="1">
        <v>33</v>
      </c>
      <c r="F486" s="1" t="s">
        <v>3446</v>
      </c>
      <c r="H486" s="1" t="s">
        <v>3447</v>
      </c>
      <c r="I486" s="1" t="s">
        <v>7</v>
      </c>
      <c r="J486" s="1" t="s">
        <v>3448</v>
      </c>
      <c r="K486" s="1" t="s">
        <v>3449</v>
      </c>
      <c r="L486" s="1" t="s">
        <v>3448</v>
      </c>
      <c r="M486" s="1" t="s">
        <v>749</v>
      </c>
      <c r="O486" s="1">
        <v>1</v>
      </c>
      <c r="P486" s="1" t="s">
        <v>3219</v>
      </c>
      <c r="Q486" s="1">
        <v>1999</v>
      </c>
      <c r="R486" s="1" t="s">
        <v>3220</v>
      </c>
      <c r="S486" s="1" t="s">
        <v>27</v>
      </c>
      <c r="T486" s="6">
        <v>1</v>
      </c>
      <c r="V486" s="1">
        <v>1.1000000000000001</v>
      </c>
    </row>
    <row r="487" spans="1:22" x14ac:dyDescent="0.2">
      <c r="A487" s="1" t="s">
        <v>3450</v>
      </c>
      <c r="B487" s="1" t="s">
        <v>55</v>
      </c>
      <c r="C487" s="1" t="s">
        <v>236</v>
      </c>
      <c r="E487" s="1">
        <v>33</v>
      </c>
      <c r="F487" s="1" t="s">
        <v>3451</v>
      </c>
      <c r="H487" s="1" t="s">
        <v>3452</v>
      </c>
      <c r="I487" s="1" t="s">
        <v>7</v>
      </c>
      <c r="J487" s="1" t="s">
        <v>3453</v>
      </c>
      <c r="K487" s="1" t="s">
        <v>3454</v>
      </c>
      <c r="L487" s="1" t="s">
        <v>3453</v>
      </c>
      <c r="M487" s="1" t="s">
        <v>2890</v>
      </c>
      <c r="N487" s="1" t="s">
        <v>3455</v>
      </c>
      <c r="O487" s="1">
        <v>1</v>
      </c>
      <c r="P487" s="1" t="s">
        <v>3219</v>
      </c>
      <c r="Q487" s="1">
        <v>1999</v>
      </c>
      <c r="R487" s="1" t="s">
        <v>3220</v>
      </c>
      <c r="S487" s="1" t="s">
        <v>27</v>
      </c>
      <c r="T487" s="6">
        <v>1</v>
      </c>
      <c r="V487" s="1">
        <v>1.85</v>
      </c>
    </row>
    <row r="488" spans="1:22" x14ac:dyDescent="0.2">
      <c r="A488" s="1" t="s">
        <v>3456</v>
      </c>
      <c r="B488" s="1" t="s">
        <v>55</v>
      </c>
      <c r="C488" s="1" t="s">
        <v>236</v>
      </c>
      <c r="E488" s="1">
        <v>33</v>
      </c>
      <c r="F488" s="1" t="s">
        <v>3457</v>
      </c>
      <c r="H488" s="1" t="s">
        <v>3458</v>
      </c>
      <c r="I488" s="1" t="s">
        <v>7</v>
      </c>
      <c r="J488" s="1" t="s">
        <v>3459</v>
      </c>
      <c r="K488" s="1" t="s">
        <v>3460</v>
      </c>
      <c r="L488" s="1" t="s">
        <v>3461</v>
      </c>
      <c r="M488" s="1" t="s">
        <v>481</v>
      </c>
      <c r="N488" s="1" t="s">
        <v>3462</v>
      </c>
      <c r="O488" s="1">
        <v>1</v>
      </c>
      <c r="P488" s="1" t="s">
        <v>3219</v>
      </c>
      <c r="Q488" s="1">
        <v>1999</v>
      </c>
      <c r="R488" s="1" t="s">
        <v>3220</v>
      </c>
      <c r="S488" s="1" t="s">
        <v>27</v>
      </c>
      <c r="T488" s="6">
        <v>1</v>
      </c>
      <c r="V488" s="1">
        <v>3.26</v>
      </c>
    </row>
    <row r="489" spans="1:22" x14ac:dyDescent="0.2">
      <c r="A489" s="1" t="s">
        <v>3463</v>
      </c>
      <c r="B489" s="1" t="s">
        <v>55</v>
      </c>
      <c r="C489" s="1" t="s">
        <v>236</v>
      </c>
      <c r="E489" s="1">
        <v>33</v>
      </c>
      <c r="F489" s="1" t="s">
        <v>3464</v>
      </c>
      <c r="H489" s="1" t="s">
        <v>3465</v>
      </c>
      <c r="I489" s="1" t="s">
        <v>7</v>
      </c>
      <c r="J489" s="1" t="s">
        <v>3466</v>
      </c>
      <c r="K489" s="1" t="s">
        <v>3467</v>
      </c>
      <c r="L489" s="1" t="s">
        <v>3466</v>
      </c>
      <c r="M489" s="1" t="s">
        <v>2890</v>
      </c>
      <c r="N489" s="1" t="s">
        <v>3468</v>
      </c>
      <c r="O489" s="1">
        <v>1</v>
      </c>
      <c r="P489" s="1" t="s">
        <v>3219</v>
      </c>
      <c r="Q489" s="1">
        <v>1999</v>
      </c>
      <c r="R489" s="1" t="s">
        <v>3220</v>
      </c>
      <c r="S489" s="1" t="s">
        <v>27</v>
      </c>
      <c r="T489" s="6">
        <v>1</v>
      </c>
      <c r="V489" s="1">
        <v>7.7</v>
      </c>
    </row>
    <row r="490" spans="1:22" x14ac:dyDescent="0.2">
      <c r="A490" s="1" t="s">
        <v>3469</v>
      </c>
      <c r="B490" s="1" t="s">
        <v>55</v>
      </c>
      <c r="C490" s="1" t="s">
        <v>236</v>
      </c>
      <c r="E490" s="1">
        <v>33</v>
      </c>
      <c r="F490" s="1" t="s">
        <v>3470</v>
      </c>
      <c r="H490" s="1" t="s">
        <v>3471</v>
      </c>
      <c r="I490" s="1" t="s">
        <v>7</v>
      </c>
      <c r="J490" s="1" t="s">
        <v>3472</v>
      </c>
      <c r="K490" s="1" t="s">
        <v>3473</v>
      </c>
      <c r="L490" s="1" t="s">
        <v>3474</v>
      </c>
      <c r="M490" s="1" t="s">
        <v>481</v>
      </c>
      <c r="O490" s="1">
        <v>1</v>
      </c>
      <c r="P490" s="1" t="s">
        <v>3219</v>
      </c>
      <c r="Q490" s="1">
        <v>1999</v>
      </c>
      <c r="R490" s="1" t="s">
        <v>3220</v>
      </c>
      <c r="S490" s="1" t="s">
        <v>27</v>
      </c>
      <c r="T490" s="6">
        <v>1</v>
      </c>
      <c r="V490" s="1">
        <v>5.03</v>
      </c>
    </row>
    <row r="491" spans="1:22" x14ac:dyDescent="0.2">
      <c r="A491" s="1" t="s">
        <v>3475</v>
      </c>
      <c r="B491" s="1" t="s">
        <v>55</v>
      </c>
      <c r="C491" s="1" t="s">
        <v>236</v>
      </c>
      <c r="E491" s="1">
        <v>33</v>
      </c>
      <c r="F491" s="1" t="s">
        <v>2779</v>
      </c>
      <c r="H491" s="1" t="s">
        <v>3476</v>
      </c>
      <c r="I491" s="1" t="s">
        <v>7</v>
      </c>
      <c r="J491" s="1" t="s">
        <v>3477</v>
      </c>
      <c r="K491" s="1" t="s">
        <v>2782</v>
      </c>
      <c r="L491" s="1" t="s">
        <v>3477</v>
      </c>
      <c r="M491" s="1" t="s">
        <v>3316</v>
      </c>
      <c r="N491" s="1" t="s">
        <v>3478</v>
      </c>
      <c r="O491" s="1">
        <v>1</v>
      </c>
      <c r="P491" s="1" t="s">
        <v>3219</v>
      </c>
      <c r="Q491" s="1">
        <v>1999</v>
      </c>
      <c r="R491" s="1" t="s">
        <v>3220</v>
      </c>
      <c r="S491" s="1" t="s">
        <v>27</v>
      </c>
      <c r="T491" s="6">
        <v>1</v>
      </c>
      <c r="V491" s="1">
        <v>0.62</v>
      </c>
    </row>
    <row r="492" spans="1:22" x14ac:dyDescent="0.2">
      <c r="A492" s="1" t="s">
        <v>3479</v>
      </c>
      <c r="B492" s="1" t="s">
        <v>55</v>
      </c>
      <c r="C492" s="1" t="s">
        <v>236</v>
      </c>
      <c r="E492" s="1">
        <v>33</v>
      </c>
      <c r="F492" s="1" t="s">
        <v>3480</v>
      </c>
      <c r="H492" s="1" t="s">
        <v>3481</v>
      </c>
      <c r="I492" s="1" t="s">
        <v>7</v>
      </c>
      <c r="J492" s="1" t="s">
        <v>3482</v>
      </c>
      <c r="K492" s="1" t="s">
        <v>3483</v>
      </c>
      <c r="L492" s="1" t="s">
        <v>3484</v>
      </c>
      <c r="O492" s="1">
        <v>1</v>
      </c>
      <c r="P492" s="1" t="s">
        <v>3219</v>
      </c>
      <c r="Q492" s="1">
        <v>1999</v>
      </c>
      <c r="R492" s="1" t="s">
        <v>3220</v>
      </c>
      <c r="S492" s="1" t="s">
        <v>27</v>
      </c>
      <c r="T492" s="6">
        <v>1</v>
      </c>
      <c r="V492" s="1">
        <v>2.2400000000000002</v>
      </c>
    </row>
    <row r="493" spans="1:22" x14ac:dyDescent="0.2">
      <c r="A493" s="1" t="s">
        <v>3485</v>
      </c>
      <c r="B493" s="1" t="s">
        <v>55</v>
      </c>
      <c r="C493" s="1" t="s">
        <v>236</v>
      </c>
      <c r="E493" s="1">
        <v>33</v>
      </c>
      <c r="F493" s="1" t="s">
        <v>3486</v>
      </c>
      <c r="H493" s="1" t="s">
        <v>3487</v>
      </c>
      <c r="I493" s="1" t="s">
        <v>7</v>
      </c>
      <c r="J493" s="1" t="s">
        <v>3488</v>
      </c>
      <c r="K493" s="1" t="s">
        <v>3489</v>
      </c>
      <c r="L493" s="1" t="s">
        <v>3490</v>
      </c>
      <c r="M493" s="1" t="s">
        <v>2890</v>
      </c>
      <c r="N493" s="1" t="s">
        <v>3491</v>
      </c>
      <c r="O493" s="1">
        <v>1</v>
      </c>
      <c r="P493" s="1" t="s">
        <v>3219</v>
      </c>
      <c r="Q493" s="1">
        <v>1999</v>
      </c>
      <c r="R493" s="1" t="s">
        <v>3220</v>
      </c>
      <c r="S493" s="1" t="s">
        <v>27</v>
      </c>
      <c r="T493" s="6">
        <v>1</v>
      </c>
      <c r="V493" s="1">
        <v>1.01</v>
      </c>
    </row>
    <row r="494" spans="1:22" x14ac:dyDescent="0.2">
      <c r="A494" s="1" t="s">
        <v>3492</v>
      </c>
      <c r="B494" s="1" t="s">
        <v>55</v>
      </c>
      <c r="C494" s="1" t="s">
        <v>236</v>
      </c>
      <c r="E494" s="1">
        <v>34</v>
      </c>
      <c r="F494" s="1" t="s">
        <v>3486</v>
      </c>
      <c r="H494" s="1" t="s">
        <v>3487</v>
      </c>
      <c r="I494" s="1" t="s">
        <v>7</v>
      </c>
      <c r="J494" s="1" t="s">
        <v>3488</v>
      </c>
      <c r="K494" s="1" t="s">
        <v>3489</v>
      </c>
      <c r="L494" s="1" t="s">
        <v>3490</v>
      </c>
      <c r="O494" s="1">
        <v>1</v>
      </c>
      <c r="P494" s="1" t="s">
        <v>3219</v>
      </c>
      <c r="Q494" s="1">
        <v>1999</v>
      </c>
      <c r="R494" s="1" t="s">
        <v>3220</v>
      </c>
      <c r="S494" s="1" t="s">
        <v>27</v>
      </c>
      <c r="T494" s="6">
        <v>1</v>
      </c>
      <c r="V494" s="1">
        <v>0.89</v>
      </c>
    </row>
    <row r="495" spans="1:22" x14ac:dyDescent="0.2">
      <c r="A495" s="1" t="s">
        <v>3493</v>
      </c>
      <c r="B495" s="1" t="s">
        <v>55</v>
      </c>
      <c r="C495" s="1" t="s">
        <v>236</v>
      </c>
      <c r="E495" s="1">
        <v>38</v>
      </c>
      <c r="F495" s="1" t="s">
        <v>3494</v>
      </c>
      <c r="H495" s="1" t="s">
        <v>3495</v>
      </c>
      <c r="I495" s="1" t="s">
        <v>7</v>
      </c>
      <c r="J495" s="1" t="s">
        <v>3496</v>
      </c>
      <c r="K495" s="1" t="s">
        <v>3497</v>
      </c>
      <c r="L495" s="1" t="s">
        <v>3498</v>
      </c>
      <c r="M495" s="1" t="s">
        <v>2890</v>
      </c>
      <c r="N495" s="1" t="s">
        <v>3499</v>
      </c>
      <c r="O495" s="1">
        <v>1</v>
      </c>
      <c r="P495" s="1" t="s">
        <v>3219</v>
      </c>
      <c r="Q495" s="1">
        <v>1999</v>
      </c>
      <c r="R495" s="1" t="s">
        <v>3220</v>
      </c>
      <c r="S495" s="1" t="s">
        <v>27</v>
      </c>
      <c r="T495" s="6">
        <v>1</v>
      </c>
      <c r="V495" s="1">
        <v>0.67</v>
      </c>
    </row>
    <row r="496" spans="1:22" x14ac:dyDescent="0.2">
      <c r="A496" s="1" t="s">
        <v>3500</v>
      </c>
      <c r="B496" s="1" t="s">
        <v>55</v>
      </c>
      <c r="C496" s="1" t="s">
        <v>236</v>
      </c>
      <c r="E496" s="1">
        <v>33</v>
      </c>
      <c r="F496" s="1" t="s">
        <v>3501</v>
      </c>
      <c r="H496" s="1" t="s">
        <v>3502</v>
      </c>
      <c r="I496" s="1" t="s">
        <v>7</v>
      </c>
      <c r="J496" s="1" t="s">
        <v>3503</v>
      </c>
      <c r="K496" s="1" t="s">
        <v>3504</v>
      </c>
      <c r="L496" s="1" t="s">
        <v>3505</v>
      </c>
      <c r="M496" s="1" t="s">
        <v>2890</v>
      </c>
      <c r="N496" s="1" t="s">
        <v>3506</v>
      </c>
      <c r="O496" s="1">
        <v>1</v>
      </c>
      <c r="P496" s="1" t="s">
        <v>3219</v>
      </c>
      <c r="Q496" s="1">
        <v>1999</v>
      </c>
      <c r="R496" s="1" t="s">
        <v>3220</v>
      </c>
      <c r="S496" s="1" t="s">
        <v>27</v>
      </c>
      <c r="T496" s="6">
        <v>1</v>
      </c>
      <c r="V496" s="1">
        <v>0.8</v>
      </c>
    </row>
    <row r="497" spans="1:22" x14ac:dyDescent="0.2">
      <c r="A497" s="1" t="s">
        <v>3507</v>
      </c>
      <c r="B497" s="1" t="s">
        <v>55</v>
      </c>
      <c r="C497" s="1" t="s">
        <v>236</v>
      </c>
      <c r="E497" s="1">
        <v>33</v>
      </c>
      <c r="F497" s="1" t="s">
        <v>2396</v>
      </c>
      <c r="H497" s="1" t="s">
        <v>3502</v>
      </c>
      <c r="I497" s="1" t="s">
        <v>7</v>
      </c>
      <c r="J497" s="1" t="s">
        <v>2398</v>
      </c>
      <c r="K497" s="1" t="s">
        <v>2399</v>
      </c>
      <c r="L497" s="1" t="s">
        <v>2398</v>
      </c>
      <c r="M497" s="1" t="s">
        <v>2890</v>
      </c>
      <c r="N497" s="1" t="s">
        <v>3508</v>
      </c>
      <c r="O497" s="1">
        <v>1</v>
      </c>
      <c r="P497" s="1" t="s">
        <v>3219</v>
      </c>
      <c r="Q497" s="1">
        <v>1999</v>
      </c>
      <c r="R497" s="1" t="s">
        <v>3220</v>
      </c>
      <c r="S497" s="1" t="s">
        <v>27</v>
      </c>
      <c r="T497" s="6">
        <v>1</v>
      </c>
      <c r="V497" s="1">
        <v>0.83</v>
      </c>
    </row>
    <row r="498" spans="1:22" x14ac:dyDescent="0.2">
      <c r="A498" s="1" t="s">
        <v>3509</v>
      </c>
      <c r="B498" s="1" t="s">
        <v>55</v>
      </c>
      <c r="C498" s="1" t="s">
        <v>236</v>
      </c>
      <c r="E498" s="1">
        <v>33</v>
      </c>
      <c r="F498" s="1" t="s">
        <v>3510</v>
      </c>
      <c r="H498" s="1" t="s">
        <v>3511</v>
      </c>
      <c r="I498" s="1" t="s">
        <v>7</v>
      </c>
      <c r="J498" s="1" t="s">
        <v>3512</v>
      </c>
      <c r="L498" s="1" t="s">
        <v>3513</v>
      </c>
      <c r="M498" s="1" t="s">
        <v>817</v>
      </c>
      <c r="N498" s="1" t="s">
        <v>3514</v>
      </c>
      <c r="O498" s="1">
        <v>1</v>
      </c>
      <c r="P498" s="1" t="s">
        <v>3219</v>
      </c>
      <c r="Q498" s="1">
        <v>1999</v>
      </c>
      <c r="R498" s="1" t="s">
        <v>3220</v>
      </c>
      <c r="S498" s="1" t="s">
        <v>27</v>
      </c>
      <c r="T498" s="6">
        <v>1</v>
      </c>
      <c r="V498" s="1">
        <v>1.56</v>
      </c>
    </row>
    <row r="499" spans="1:22" x14ac:dyDescent="0.2">
      <c r="A499" s="1" t="s">
        <v>3515</v>
      </c>
      <c r="B499" s="1" t="s">
        <v>55</v>
      </c>
      <c r="C499" s="1" t="s">
        <v>236</v>
      </c>
      <c r="E499" s="1">
        <v>33</v>
      </c>
      <c r="F499" s="1" t="s">
        <v>2005</v>
      </c>
      <c r="H499" s="1" t="s">
        <v>3516</v>
      </c>
      <c r="I499" s="1" t="s">
        <v>7</v>
      </c>
      <c r="J499" s="1" t="s">
        <v>3517</v>
      </c>
      <c r="K499" s="1" t="s">
        <v>2009</v>
      </c>
      <c r="L499" s="1" t="s">
        <v>3518</v>
      </c>
      <c r="N499" s="1" t="s">
        <v>3519</v>
      </c>
      <c r="O499" s="1">
        <v>1</v>
      </c>
      <c r="P499" s="1" t="s">
        <v>3219</v>
      </c>
      <c r="Q499" s="1">
        <v>1999</v>
      </c>
      <c r="R499" s="1" t="s">
        <v>3220</v>
      </c>
      <c r="S499" s="1" t="s">
        <v>27</v>
      </c>
      <c r="T499" s="6">
        <v>1</v>
      </c>
      <c r="V499" s="1">
        <v>0.85</v>
      </c>
    </row>
    <row r="500" spans="1:22" x14ac:dyDescent="0.2">
      <c r="A500" s="1" t="s">
        <v>3520</v>
      </c>
      <c r="B500" s="1" t="s">
        <v>55</v>
      </c>
      <c r="C500" s="1" t="s">
        <v>236</v>
      </c>
      <c r="E500" s="1">
        <v>33</v>
      </c>
      <c r="F500" s="1" t="s">
        <v>3521</v>
      </c>
      <c r="H500" s="1" t="s">
        <v>3522</v>
      </c>
      <c r="I500" s="1" t="s">
        <v>7</v>
      </c>
      <c r="J500" s="1" t="s">
        <v>3523</v>
      </c>
      <c r="K500" s="1" t="s">
        <v>3524</v>
      </c>
      <c r="L500" s="1" t="s">
        <v>3525</v>
      </c>
      <c r="M500" s="1" t="s">
        <v>2890</v>
      </c>
      <c r="N500" s="1" t="s">
        <v>3526</v>
      </c>
      <c r="O500" s="1">
        <v>1</v>
      </c>
      <c r="P500" s="1" t="s">
        <v>3219</v>
      </c>
      <c r="Q500" s="1">
        <v>1999</v>
      </c>
      <c r="R500" s="1" t="s">
        <v>3220</v>
      </c>
      <c r="S500" s="1" t="s">
        <v>27</v>
      </c>
      <c r="T500" s="6">
        <v>1</v>
      </c>
      <c r="V500" s="1">
        <v>1.08</v>
      </c>
    </row>
    <row r="501" spans="1:22" x14ac:dyDescent="0.2">
      <c r="A501" s="1" t="s">
        <v>3527</v>
      </c>
      <c r="B501" s="1" t="s">
        <v>55</v>
      </c>
      <c r="C501" s="1" t="s">
        <v>236</v>
      </c>
      <c r="E501" s="1">
        <v>33</v>
      </c>
      <c r="F501" s="1" t="s">
        <v>3528</v>
      </c>
      <c r="H501" s="1" t="s">
        <v>3529</v>
      </c>
      <c r="I501" s="1" t="s">
        <v>7</v>
      </c>
      <c r="J501" s="1" t="s">
        <v>3530</v>
      </c>
      <c r="K501" s="1" t="s">
        <v>3531</v>
      </c>
      <c r="L501" s="1" t="s">
        <v>3532</v>
      </c>
      <c r="M501" s="1" t="s">
        <v>2890</v>
      </c>
      <c r="N501" s="1" t="s">
        <v>3533</v>
      </c>
      <c r="O501" s="1">
        <v>1</v>
      </c>
      <c r="P501" s="1" t="s">
        <v>3219</v>
      </c>
      <c r="Q501" s="1">
        <v>1999</v>
      </c>
      <c r="R501" s="1" t="s">
        <v>3220</v>
      </c>
      <c r="S501" s="1" t="s">
        <v>27</v>
      </c>
      <c r="T501" s="6">
        <v>1</v>
      </c>
      <c r="V501" s="1">
        <v>0.52</v>
      </c>
    </row>
    <row r="502" spans="1:22" x14ac:dyDescent="0.2">
      <c r="A502" s="1" t="s">
        <v>3534</v>
      </c>
      <c r="B502" s="1" t="s">
        <v>55</v>
      </c>
      <c r="C502" s="1" t="s">
        <v>236</v>
      </c>
      <c r="E502" s="1">
        <v>31</v>
      </c>
      <c r="F502" s="1" t="s">
        <v>3535</v>
      </c>
      <c r="H502" s="1" t="s">
        <v>3536</v>
      </c>
      <c r="I502" s="1" t="s">
        <v>7</v>
      </c>
      <c r="J502" s="1" t="s">
        <v>3537</v>
      </c>
      <c r="K502" s="1" t="s">
        <v>3538</v>
      </c>
      <c r="L502" s="1" t="s">
        <v>3537</v>
      </c>
      <c r="M502" s="1" t="s">
        <v>2890</v>
      </c>
      <c r="N502" s="1" t="s">
        <v>3539</v>
      </c>
      <c r="O502" s="1">
        <v>1</v>
      </c>
      <c r="P502" s="1" t="s">
        <v>3219</v>
      </c>
      <c r="Q502" s="1">
        <v>1999</v>
      </c>
      <c r="R502" s="1" t="s">
        <v>3220</v>
      </c>
      <c r="S502" s="1" t="s">
        <v>27</v>
      </c>
      <c r="T502" s="6">
        <v>1</v>
      </c>
      <c r="V502" s="1">
        <v>0.54</v>
      </c>
    </row>
    <row r="503" spans="1:22" x14ac:dyDescent="0.2">
      <c r="A503" s="1" t="s">
        <v>3540</v>
      </c>
      <c r="B503" s="1" t="s">
        <v>55</v>
      </c>
      <c r="C503" s="1" t="s">
        <v>236</v>
      </c>
      <c r="E503" s="1">
        <v>33</v>
      </c>
      <c r="F503" s="1" t="s">
        <v>3541</v>
      </c>
      <c r="H503" s="1" t="s">
        <v>3542</v>
      </c>
      <c r="I503" s="1" t="s">
        <v>7</v>
      </c>
      <c r="J503" s="1" t="s">
        <v>3543</v>
      </c>
      <c r="K503" s="1" t="s">
        <v>3544</v>
      </c>
      <c r="L503" s="1" t="s">
        <v>3543</v>
      </c>
      <c r="M503" s="1" t="s">
        <v>2967</v>
      </c>
      <c r="N503" s="1" t="s">
        <v>3545</v>
      </c>
      <c r="O503" s="1">
        <v>1</v>
      </c>
      <c r="P503" s="1" t="s">
        <v>3219</v>
      </c>
      <c r="Q503" s="1">
        <v>1999</v>
      </c>
      <c r="R503" s="1" t="s">
        <v>3220</v>
      </c>
      <c r="S503" s="1" t="s">
        <v>27</v>
      </c>
      <c r="T503" s="6">
        <v>1</v>
      </c>
      <c r="V503" s="1">
        <v>1.56</v>
      </c>
    </row>
    <row r="504" spans="1:22" x14ac:dyDescent="0.2">
      <c r="A504" s="1" t="s">
        <v>3546</v>
      </c>
      <c r="B504" s="1" t="s">
        <v>55</v>
      </c>
      <c r="C504" s="1" t="s">
        <v>236</v>
      </c>
      <c r="E504" s="1">
        <v>33</v>
      </c>
      <c r="F504" s="1" t="s">
        <v>3547</v>
      </c>
      <c r="H504" s="1" t="s">
        <v>3548</v>
      </c>
      <c r="I504" s="1" t="s">
        <v>7</v>
      </c>
      <c r="J504" s="1" t="s">
        <v>3549</v>
      </c>
      <c r="L504" s="1" t="s">
        <v>3550</v>
      </c>
      <c r="M504" s="1" t="s">
        <v>481</v>
      </c>
      <c r="N504" s="1" t="s">
        <v>3551</v>
      </c>
      <c r="O504" s="1">
        <v>1</v>
      </c>
      <c r="P504" s="1" t="s">
        <v>3219</v>
      </c>
      <c r="Q504" s="1">
        <v>1999</v>
      </c>
      <c r="R504" s="1" t="s">
        <v>3220</v>
      </c>
      <c r="S504" s="1" t="s">
        <v>27</v>
      </c>
      <c r="T504" s="6">
        <v>1</v>
      </c>
      <c r="V504" s="1">
        <v>1.2</v>
      </c>
    </row>
    <row r="505" spans="1:22" x14ac:dyDescent="0.2">
      <c r="A505" s="1" t="s">
        <v>3552</v>
      </c>
      <c r="B505" s="1" t="s">
        <v>55</v>
      </c>
      <c r="C505" s="1" t="s">
        <v>236</v>
      </c>
      <c r="E505" s="1">
        <v>33</v>
      </c>
      <c r="F505" s="1" t="s">
        <v>3553</v>
      </c>
      <c r="H505" s="1" t="s">
        <v>3554</v>
      </c>
      <c r="I505" s="1" t="s">
        <v>7</v>
      </c>
      <c r="J505" s="1" t="s">
        <v>3555</v>
      </c>
      <c r="K505" s="1" t="s">
        <v>3556</v>
      </c>
      <c r="L505" s="1" t="s">
        <v>3557</v>
      </c>
      <c r="M505" s="1" t="s">
        <v>749</v>
      </c>
      <c r="N505" s="1" t="s">
        <v>3558</v>
      </c>
      <c r="O505" s="1">
        <v>1</v>
      </c>
      <c r="P505" s="1" t="s">
        <v>3219</v>
      </c>
      <c r="Q505" s="1">
        <v>1999</v>
      </c>
      <c r="R505" s="1" t="s">
        <v>3220</v>
      </c>
      <c r="S505" s="1" t="s">
        <v>27</v>
      </c>
      <c r="T505" s="6">
        <v>1</v>
      </c>
      <c r="V505" s="1">
        <v>0.6</v>
      </c>
    </row>
    <row r="506" spans="1:22" x14ac:dyDescent="0.2">
      <c r="A506" s="1" t="s">
        <v>3559</v>
      </c>
      <c r="B506" s="1" t="s">
        <v>55</v>
      </c>
      <c r="C506" s="1" t="s">
        <v>236</v>
      </c>
      <c r="E506" s="1">
        <v>33</v>
      </c>
      <c r="F506" s="1" t="s">
        <v>3553</v>
      </c>
      <c r="H506" s="1" t="s">
        <v>3554</v>
      </c>
      <c r="I506" s="1" t="s">
        <v>7</v>
      </c>
      <c r="J506" s="1" t="s">
        <v>3555</v>
      </c>
      <c r="K506" s="1" t="s">
        <v>3556</v>
      </c>
      <c r="L506" s="1" t="s">
        <v>3557</v>
      </c>
      <c r="M506" s="1" t="s">
        <v>749</v>
      </c>
      <c r="N506" s="1" t="s">
        <v>3560</v>
      </c>
      <c r="O506" s="1">
        <v>1</v>
      </c>
      <c r="P506" s="1" t="s">
        <v>3219</v>
      </c>
      <c r="Q506" s="1">
        <v>1999</v>
      </c>
      <c r="R506" s="1" t="s">
        <v>3220</v>
      </c>
      <c r="S506" s="1" t="s">
        <v>27</v>
      </c>
      <c r="T506" s="6">
        <v>1</v>
      </c>
      <c r="V506" s="1">
        <v>0.8</v>
      </c>
    </row>
    <row r="507" spans="1:22" x14ac:dyDescent="0.2">
      <c r="A507" s="1" t="s">
        <v>3561</v>
      </c>
      <c r="B507" s="1" t="s">
        <v>55</v>
      </c>
      <c r="C507" s="1" t="s">
        <v>236</v>
      </c>
      <c r="E507" s="1">
        <v>33</v>
      </c>
      <c r="F507" s="1" t="s">
        <v>3547</v>
      </c>
      <c r="H507" s="1" t="s">
        <v>3562</v>
      </c>
      <c r="I507" s="1" t="s">
        <v>7</v>
      </c>
      <c r="J507" s="1" t="s">
        <v>3563</v>
      </c>
      <c r="L507" s="1" t="s">
        <v>3550</v>
      </c>
      <c r="M507" s="1" t="s">
        <v>2890</v>
      </c>
      <c r="N507" s="1" t="s">
        <v>3564</v>
      </c>
      <c r="O507" s="1">
        <v>1</v>
      </c>
      <c r="P507" s="1" t="s">
        <v>3219</v>
      </c>
      <c r="Q507" s="1">
        <v>1999</v>
      </c>
      <c r="R507" s="1" t="s">
        <v>3220</v>
      </c>
      <c r="S507" s="1" t="s">
        <v>27</v>
      </c>
      <c r="T507" s="6">
        <v>1</v>
      </c>
      <c r="V507" s="1">
        <v>0.87</v>
      </c>
    </row>
    <row r="508" spans="1:22" x14ac:dyDescent="0.2">
      <c r="A508" s="1" t="s">
        <v>3565</v>
      </c>
      <c r="B508" s="1" t="s">
        <v>55</v>
      </c>
      <c r="C508" s="1" t="s">
        <v>236</v>
      </c>
      <c r="E508" s="1">
        <v>33</v>
      </c>
      <c r="F508" s="1" t="s">
        <v>3566</v>
      </c>
      <c r="H508" s="1" t="s">
        <v>3567</v>
      </c>
      <c r="I508" s="1" t="s">
        <v>7</v>
      </c>
      <c r="J508" s="1" t="s">
        <v>3568</v>
      </c>
      <c r="K508" s="1" t="s">
        <v>3569</v>
      </c>
      <c r="L508" s="1" t="s">
        <v>3570</v>
      </c>
      <c r="M508" s="1" t="s">
        <v>2890</v>
      </c>
      <c r="N508" s="1" t="s">
        <v>3571</v>
      </c>
      <c r="O508" s="1">
        <v>1</v>
      </c>
      <c r="P508" s="1" t="s">
        <v>3219</v>
      </c>
      <c r="Q508" s="1">
        <v>1999</v>
      </c>
      <c r="R508" s="1" t="s">
        <v>3220</v>
      </c>
      <c r="S508" s="1" t="s">
        <v>27</v>
      </c>
      <c r="T508" s="6">
        <v>1</v>
      </c>
      <c r="V508" s="1">
        <v>0.81</v>
      </c>
    </row>
    <row r="509" spans="1:22" x14ac:dyDescent="0.2">
      <c r="A509" s="1" t="s">
        <v>3572</v>
      </c>
      <c r="B509" s="1" t="s">
        <v>55</v>
      </c>
      <c r="C509" s="1" t="s">
        <v>236</v>
      </c>
      <c r="E509" s="1">
        <v>33</v>
      </c>
      <c r="F509" s="1" t="s">
        <v>3553</v>
      </c>
      <c r="H509" s="1" t="s">
        <v>3554</v>
      </c>
      <c r="I509" s="1" t="s">
        <v>7</v>
      </c>
      <c r="J509" s="1" t="s">
        <v>3573</v>
      </c>
      <c r="K509" s="1" t="s">
        <v>3556</v>
      </c>
      <c r="L509" s="1" t="s">
        <v>3557</v>
      </c>
      <c r="M509" s="1" t="s">
        <v>2890</v>
      </c>
      <c r="N509" s="1" t="s">
        <v>3574</v>
      </c>
      <c r="O509" s="1">
        <v>1</v>
      </c>
      <c r="P509" s="1" t="s">
        <v>3219</v>
      </c>
      <c r="Q509" s="1">
        <v>1999</v>
      </c>
      <c r="R509" s="1" t="s">
        <v>3220</v>
      </c>
      <c r="S509" s="1" t="s">
        <v>27</v>
      </c>
      <c r="T509" s="6">
        <v>1</v>
      </c>
      <c r="V509" s="1">
        <v>0.85</v>
      </c>
    </row>
    <row r="510" spans="1:22" x14ac:dyDescent="0.2">
      <c r="A510" s="1" t="s">
        <v>3575</v>
      </c>
      <c r="B510" s="1" t="s">
        <v>55</v>
      </c>
      <c r="C510" s="1" t="s">
        <v>236</v>
      </c>
      <c r="E510" s="1">
        <v>37</v>
      </c>
      <c r="F510" s="1" t="s">
        <v>2043</v>
      </c>
      <c r="H510" s="1" t="s">
        <v>3576</v>
      </c>
      <c r="I510" s="1" t="s">
        <v>7</v>
      </c>
      <c r="J510" s="1" t="s">
        <v>2046</v>
      </c>
      <c r="K510" s="1" t="s">
        <v>2047</v>
      </c>
      <c r="L510" s="1" t="s">
        <v>2046</v>
      </c>
      <c r="M510" s="1" t="s">
        <v>749</v>
      </c>
      <c r="N510" s="1" t="s">
        <v>3577</v>
      </c>
      <c r="O510" s="1">
        <v>1</v>
      </c>
      <c r="P510" s="1" t="s">
        <v>3219</v>
      </c>
      <c r="Q510" s="1">
        <v>1999</v>
      </c>
      <c r="R510" s="1" t="s">
        <v>3220</v>
      </c>
      <c r="S510" s="1" t="s">
        <v>27</v>
      </c>
      <c r="T510" s="6">
        <v>1</v>
      </c>
      <c r="V510" s="1">
        <v>6.84</v>
      </c>
    </row>
    <row r="511" spans="1:22" x14ac:dyDescent="0.2">
      <c r="A511" s="1" t="s">
        <v>3578</v>
      </c>
      <c r="B511" s="1" t="s">
        <v>55</v>
      </c>
      <c r="C511" s="1" t="s">
        <v>236</v>
      </c>
      <c r="E511" s="1">
        <v>37</v>
      </c>
      <c r="F511" s="1" t="s">
        <v>2043</v>
      </c>
      <c r="H511" s="1" t="s">
        <v>3579</v>
      </c>
      <c r="I511" s="1" t="s">
        <v>7</v>
      </c>
      <c r="J511" s="1" t="s">
        <v>2046</v>
      </c>
      <c r="K511" s="1" t="s">
        <v>2047</v>
      </c>
      <c r="L511" s="1" t="s">
        <v>2046</v>
      </c>
      <c r="M511" s="1" t="s">
        <v>1293</v>
      </c>
      <c r="N511" s="1" t="s">
        <v>3580</v>
      </c>
      <c r="O511" s="1">
        <v>1</v>
      </c>
      <c r="P511" s="1" t="s">
        <v>3219</v>
      </c>
      <c r="Q511" s="1">
        <v>1999</v>
      </c>
      <c r="R511" s="1" t="s">
        <v>3220</v>
      </c>
      <c r="S511" s="1" t="s">
        <v>27</v>
      </c>
      <c r="T511" s="6">
        <v>1</v>
      </c>
      <c r="V511" s="1">
        <v>7.65</v>
      </c>
    </row>
    <row r="512" spans="1:22" x14ac:dyDescent="0.2">
      <c r="A512" s="1" t="s">
        <v>3581</v>
      </c>
      <c r="B512" s="1" t="s">
        <v>55</v>
      </c>
      <c r="C512" s="1" t="s">
        <v>236</v>
      </c>
      <c r="E512" s="1">
        <v>37</v>
      </c>
      <c r="F512" s="1" t="s">
        <v>2043</v>
      </c>
      <c r="H512" s="1" t="s">
        <v>3582</v>
      </c>
      <c r="I512" s="1" t="s">
        <v>7</v>
      </c>
      <c r="J512" s="1" t="s">
        <v>2046</v>
      </c>
      <c r="K512" s="1" t="s">
        <v>2047</v>
      </c>
      <c r="L512" s="1" t="s">
        <v>2046</v>
      </c>
      <c r="M512" s="1" t="s">
        <v>758</v>
      </c>
      <c r="N512" s="1" t="s">
        <v>3583</v>
      </c>
      <c r="O512" s="1">
        <v>1</v>
      </c>
      <c r="P512" s="1" t="s">
        <v>3219</v>
      </c>
      <c r="Q512" s="1">
        <v>1999</v>
      </c>
      <c r="R512" s="1" t="s">
        <v>3220</v>
      </c>
      <c r="S512" s="1" t="s">
        <v>27</v>
      </c>
      <c r="T512" s="6">
        <v>1</v>
      </c>
      <c r="V512" s="1">
        <v>5.09</v>
      </c>
    </row>
    <row r="513" spans="1:22" x14ac:dyDescent="0.2">
      <c r="A513" s="1" t="s">
        <v>3584</v>
      </c>
      <c r="B513" s="1" t="s">
        <v>55</v>
      </c>
      <c r="C513" s="1" t="s">
        <v>236</v>
      </c>
      <c r="E513" s="1">
        <v>37</v>
      </c>
      <c r="F513" s="1" t="s">
        <v>2043</v>
      </c>
      <c r="H513" s="1" t="s">
        <v>3585</v>
      </c>
      <c r="I513" s="1" t="s">
        <v>7</v>
      </c>
      <c r="J513" s="1" t="s">
        <v>2046</v>
      </c>
      <c r="K513" s="1" t="s">
        <v>2047</v>
      </c>
      <c r="L513" s="1" t="s">
        <v>2046</v>
      </c>
      <c r="M513" s="1" t="s">
        <v>758</v>
      </c>
      <c r="N513" s="1" t="s">
        <v>3586</v>
      </c>
      <c r="O513" s="1">
        <v>1</v>
      </c>
      <c r="P513" s="1" t="s">
        <v>3219</v>
      </c>
      <c r="Q513" s="1">
        <v>1999</v>
      </c>
      <c r="R513" s="1" t="s">
        <v>3220</v>
      </c>
      <c r="S513" s="1" t="s">
        <v>27</v>
      </c>
      <c r="T513" s="6">
        <v>1</v>
      </c>
      <c r="V513" s="1">
        <v>2.08</v>
      </c>
    </row>
    <row r="514" spans="1:22" x14ac:dyDescent="0.2">
      <c r="A514" s="1" t="s">
        <v>3587</v>
      </c>
      <c r="B514" s="1" t="s">
        <v>55</v>
      </c>
      <c r="C514" s="1" t="s">
        <v>236</v>
      </c>
      <c r="E514" s="1">
        <v>37</v>
      </c>
      <c r="F514" s="1" t="s">
        <v>2043</v>
      </c>
      <c r="H514" s="1" t="s">
        <v>3579</v>
      </c>
      <c r="I514" s="1" t="s">
        <v>7</v>
      </c>
      <c r="J514" s="1" t="s">
        <v>2046</v>
      </c>
      <c r="K514" s="1" t="s">
        <v>2047</v>
      </c>
      <c r="L514" s="1" t="s">
        <v>2046</v>
      </c>
      <c r="M514" s="1" t="s">
        <v>481</v>
      </c>
      <c r="N514" s="1" t="s">
        <v>3588</v>
      </c>
      <c r="O514" s="1">
        <v>1</v>
      </c>
      <c r="P514" s="1" t="s">
        <v>3219</v>
      </c>
      <c r="Q514" s="1">
        <v>1999</v>
      </c>
      <c r="R514" s="1" t="s">
        <v>3220</v>
      </c>
      <c r="S514" s="1" t="s">
        <v>27</v>
      </c>
      <c r="T514" s="6">
        <v>1</v>
      </c>
      <c r="V514" s="1">
        <v>5.17</v>
      </c>
    </row>
    <row r="515" spans="1:22" x14ac:dyDescent="0.2">
      <c r="A515" s="1" t="s">
        <v>3589</v>
      </c>
      <c r="B515" s="1" t="s">
        <v>55</v>
      </c>
      <c r="C515" s="1" t="s">
        <v>236</v>
      </c>
      <c r="E515" s="1">
        <v>13</v>
      </c>
      <c r="F515" s="1" t="s">
        <v>2455</v>
      </c>
      <c r="H515" s="1" t="s">
        <v>3590</v>
      </c>
      <c r="I515" s="1" t="s">
        <v>7</v>
      </c>
      <c r="J515" s="1" t="s">
        <v>3591</v>
      </c>
      <c r="K515" s="1" t="s">
        <v>2459</v>
      </c>
      <c r="L515" s="1" t="s">
        <v>2460</v>
      </c>
      <c r="M515" s="1" t="s">
        <v>481</v>
      </c>
      <c r="N515" s="1" t="s">
        <v>3592</v>
      </c>
      <c r="O515" s="1">
        <v>1</v>
      </c>
      <c r="P515" s="1" t="s">
        <v>3219</v>
      </c>
      <c r="Q515" s="1">
        <v>1999</v>
      </c>
      <c r="R515" s="1" t="s">
        <v>3220</v>
      </c>
      <c r="S515" s="1" t="s">
        <v>27</v>
      </c>
      <c r="T515" s="6">
        <v>1</v>
      </c>
      <c r="V515" s="1">
        <v>1.38</v>
      </c>
    </row>
    <row r="516" spans="1:22" x14ac:dyDescent="0.2">
      <c r="A516" s="1" t="s">
        <v>3593</v>
      </c>
      <c r="B516" s="1" t="s">
        <v>55</v>
      </c>
      <c r="C516" s="1" t="s">
        <v>236</v>
      </c>
      <c r="E516" s="1">
        <v>37</v>
      </c>
      <c r="F516" s="1" t="s">
        <v>2043</v>
      </c>
      <c r="H516" s="1" t="s">
        <v>3576</v>
      </c>
      <c r="I516" s="1" t="s">
        <v>7</v>
      </c>
      <c r="J516" s="1" t="s">
        <v>2046</v>
      </c>
      <c r="K516" s="1" t="s">
        <v>2047</v>
      </c>
      <c r="L516" s="1" t="s">
        <v>2046</v>
      </c>
      <c r="M516" s="1" t="s">
        <v>2890</v>
      </c>
      <c r="N516" s="1" t="s">
        <v>3594</v>
      </c>
      <c r="O516" s="1">
        <v>1</v>
      </c>
      <c r="P516" s="1" t="s">
        <v>3219</v>
      </c>
      <c r="Q516" s="1">
        <v>1999</v>
      </c>
      <c r="R516" s="1" t="s">
        <v>3220</v>
      </c>
      <c r="S516" s="1" t="s">
        <v>27</v>
      </c>
      <c r="T516" s="6">
        <v>1</v>
      </c>
      <c r="V516" s="1">
        <v>1.94</v>
      </c>
    </row>
    <row r="517" spans="1:22" x14ac:dyDescent="0.2">
      <c r="A517" s="1" t="s">
        <v>3595</v>
      </c>
      <c r="B517" s="1" t="s">
        <v>55</v>
      </c>
      <c r="C517" s="1" t="s">
        <v>236</v>
      </c>
      <c r="E517" s="1">
        <v>13</v>
      </c>
      <c r="F517" s="1" t="s">
        <v>2455</v>
      </c>
      <c r="H517" s="1" t="s">
        <v>3590</v>
      </c>
      <c r="I517" s="1" t="s">
        <v>7</v>
      </c>
      <c r="J517" s="1" t="s">
        <v>3591</v>
      </c>
      <c r="K517" s="1" t="s">
        <v>2459</v>
      </c>
      <c r="L517" s="1" t="s">
        <v>2460</v>
      </c>
      <c r="M517" s="1" t="s">
        <v>2890</v>
      </c>
      <c r="N517" s="1" t="s">
        <v>3596</v>
      </c>
      <c r="O517" s="1">
        <v>1</v>
      </c>
      <c r="P517" s="1" t="s">
        <v>3219</v>
      </c>
      <c r="Q517" s="1">
        <v>1999</v>
      </c>
      <c r="R517" s="1" t="s">
        <v>3220</v>
      </c>
      <c r="S517" s="1" t="s">
        <v>27</v>
      </c>
      <c r="T517" s="6">
        <v>1</v>
      </c>
      <c r="V517" s="1">
        <v>0.68</v>
      </c>
    </row>
    <row r="518" spans="1:22" x14ac:dyDescent="0.2">
      <c r="A518" s="1" t="s">
        <v>3597</v>
      </c>
      <c r="B518" s="1" t="s">
        <v>55</v>
      </c>
      <c r="C518" s="1" t="s">
        <v>236</v>
      </c>
      <c r="E518" s="1">
        <v>33</v>
      </c>
      <c r="F518" s="1" t="s">
        <v>3598</v>
      </c>
      <c r="H518" s="1" t="s">
        <v>3599</v>
      </c>
      <c r="I518" s="1" t="s">
        <v>7</v>
      </c>
      <c r="J518" s="1" t="s">
        <v>3600</v>
      </c>
      <c r="K518" s="1" t="s">
        <v>3601</v>
      </c>
      <c r="L518" s="1" t="s">
        <v>3602</v>
      </c>
      <c r="M518" s="1" t="s">
        <v>2890</v>
      </c>
      <c r="N518" s="1" t="s">
        <v>3603</v>
      </c>
      <c r="O518" s="1">
        <v>1</v>
      </c>
      <c r="P518" s="1" t="s">
        <v>3219</v>
      </c>
      <c r="Q518" s="1">
        <v>1999</v>
      </c>
      <c r="R518" s="1" t="s">
        <v>3220</v>
      </c>
      <c r="S518" s="1" t="s">
        <v>27</v>
      </c>
      <c r="T518" s="6">
        <v>1</v>
      </c>
      <c r="V518" s="1">
        <v>0.42</v>
      </c>
    </row>
    <row r="519" spans="1:22" x14ac:dyDescent="0.2">
      <c r="A519" s="1" t="s">
        <v>3604</v>
      </c>
      <c r="B519" s="1" t="s">
        <v>55</v>
      </c>
      <c r="C519" s="1" t="s">
        <v>236</v>
      </c>
      <c r="E519" s="1">
        <v>33</v>
      </c>
      <c r="F519" s="1" t="s">
        <v>3605</v>
      </c>
      <c r="H519" s="1" t="s">
        <v>3606</v>
      </c>
      <c r="I519" s="1" t="s">
        <v>7</v>
      </c>
      <c r="J519" s="1" t="s">
        <v>3607</v>
      </c>
      <c r="K519" s="1" t="s">
        <v>3608</v>
      </c>
      <c r="L519" s="1" t="s">
        <v>3607</v>
      </c>
      <c r="M519" s="1" t="s">
        <v>2890</v>
      </c>
      <c r="N519" s="1" t="s">
        <v>3609</v>
      </c>
      <c r="O519" s="1">
        <v>1</v>
      </c>
      <c r="P519" s="1" t="s">
        <v>3219</v>
      </c>
      <c r="Q519" s="1">
        <v>1999</v>
      </c>
      <c r="R519" s="1" t="s">
        <v>3220</v>
      </c>
      <c r="S519" s="1" t="s">
        <v>27</v>
      </c>
      <c r="T519" s="6">
        <v>1</v>
      </c>
      <c r="V519" s="1">
        <v>3.39</v>
      </c>
    </row>
    <row r="520" spans="1:22" x14ac:dyDescent="0.2">
      <c r="A520" s="1" t="s">
        <v>3610</v>
      </c>
      <c r="B520" s="1" t="s">
        <v>55</v>
      </c>
      <c r="C520" s="1" t="s">
        <v>236</v>
      </c>
      <c r="E520" s="1">
        <v>33</v>
      </c>
      <c r="F520" s="1" t="s">
        <v>3611</v>
      </c>
      <c r="H520" s="1" t="s">
        <v>3612</v>
      </c>
      <c r="I520" s="1" t="s">
        <v>7</v>
      </c>
      <c r="J520" s="1" t="s">
        <v>3613</v>
      </c>
      <c r="K520" s="1" t="s">
        <v>3614</v>
      </c>
      <c r="L520" s="1" t="s">
        <v>3613</v>
      </c>
      <c r="M520" s="1" t="s">
        <v>2890</v>
      </c>
      <c r="N520" s="1" t="s">
        <v>3615</v>
      </c>
      <c r="O520" s="1">
        <v>1</v>
      </c>
      <c r="P520" s="1" t="s">
        <v>3219</v>
      </c>
      <c r="Q520" s="1">
        <v>1999</v>
      </c>
      <c r="R520" s="1" t="s">
        <v>3220</v>
      </c>
      <c r="S520" s="1" t="s">
        <v>27</v>
      </c>
      <c r="T520" s="6">
        <v>1</v>
      </c>
      <c r="V520" s="1">
        <v>0.43</v>
      </c>
    </row>
    <row r="521" spans="1:22" x14ac:dyDescent="0.2">
      <c r="A521" s="1" t="s">
        <v>3616</v>
      </c>
      <c r="B521" s="1" t="s">
        <v>55</v>
      </c>
      <c r="C521" s="1" t="s">
        <v>236</v>
      </c>
      <c r="E521" s="1">
        <v>37</v>
      </c>
      <c r="F521" s="1" t="s">
        <v>3617</v>
      </c>
      <c r="H521" s="1" t="s">
        <v>3618</v>
      </c>
      <c r="I521" s="1" t="s">
        <v>7</v>
      </c>
      <c r="J521" s="1" t="s">
        <v>3619</v>
      </c>
      <c r="K521" s="1" t="s">
        <v>3620</v>
      </c>
      <c r="L521" s="1" t="s">
        <v>3619</v>
      </c>
      <c r="M521" s="1" t="s">
        <v>2890</v>
      </c>
      <c r="N521" s="1" t="s">
        <v>3621</v>
      </c>
      <c r="O521" s="1">
        <v>1</v>
      </c>
      <c r="P521" s="1" t="s">
        <v>3219</v>
      </c>
      <c r="Q521" s="1">
        <v>1999</v>
      </c>
      <c r="R521" s="1" t="s">
        <v>3220</v>
      </c>
      <c r="S521" s="1" t="s">
        <v>27</v>
      </c>
      <c r="T521" s="6">
        <v>1</v>
      </c>
      <c r="V521" s="1">
        <v>0.61</v>
      </c>
    </row>
    <row r="522" spans="1:22" x14ac:dyDescent="0.2">
      <c r="A522" s="1" t="s">
        <v>3622</v>
      </c>
      <c r="B522" s="1" t="s">
        <v>55</v>
      </c>
      <c r="C522" s="1" t="s">
        <v>236</v>
      </c>
      <c r="E522" s="1">
        <v>37</v>
      </c>
      <c r="F522" s="1" t="s">
        <v>3623</v>
      </c>
      <c r="H522" s="1" t="s">
        <v>3624</v>
      </c>
      <c r="I522" s="1" t="s">
        <v>7</v>
      </c>
      <c r="J522" s="1" t="s">
        <v>3625</v>
      </c>
      <c r="K522" s="1" t="s">
        <v>3626</v>
      </c>
      <c r="L522" s="1" t="s">
        <v>3625</v>
      </c>
      <c r="M522" s="1" t="s">
        <v>2890</v>
      </c>
      <c r="N522" s="1" t="s">
        <v>3627</v>
      </c>
      <c r="O522" s="1">
        <v>1</v>
      </c>
      <c r="P522" s="1" t="s">
        <v>3219</v>
      </c>
      <c r="Q522" s="1">
        <v>1999</v>
      </c>
      <c r="R522" s="1" t="s">
        <v>3220</v>
      </c>
      <c r="S522" s="1" t="s">
        <v>27</v>
      </c>
      <c r="T522" s="6">
        <v>1</v>
      </c>
      <c r="V522" s="1">
        <v>0.84</v>
      </c>
    </row>
    <row r="523" spans="1:22" x14ac:dyDescent="0.2">
      <c r="A523" s="1" t="s">
        <v>3628</v>
      </c>
      <c r="B523" s="1" t="s">
        <v>55</v>
      </c>
      <c r="C523" s="1" t="s">
        <v>236</v>
      </c>
      <c r="E523" s="1">
        <v>37</v>
      </c>
      <c r="F523" s="1" t="s">
        <v>3629</v>
      </c>
      <c r="H523" s="1" t="s">
        <v>3630</v>
      </c>
      <c r="I523" s="1" t="s">
        <v>7</v>
      </c>
      <c r="J523" s="1" t="s">
        <v>3631</v>
      </c>
      <c r="K523" s="1" t="s">
        <v>3632</v>
      </c>
      <c r="L523" s="1" t="s">
        <v>3631</v>
      </c>
      <c r="M523" s="1" t="s">
        <v>2890</v>
      </c>
      <c r="N523" s="1" t="s">
        <v>3633</v>
      </c>
      <c r="O523" s="1">
        <v>1</v>
      </c>
      <c r="P523" s="1" t="s">
        <v>3219</v>
      </c>
      <c r="Q523" s="1">
        <v>1999</v>
      </c>
      <c r="R523" s="1" t="s">
        <v>3220</v>
      </c>
      <c r="S523" s="1" t="s">
        <v>27</v>
      </c>
      <c r="T523" s="6">
        <v>1</v>
      </c>
      <c r="V523" s="1">
        <v>0.53</v>
      </c>
    </row>
    <row r="524" spans="1:22" x14ac:dyDescent="0.2">
      <c r="A524" s="1" t="s">
        <v>3634</v>
      </c>
      <c r="B524" s="1" t="s">
        <v>55</v>
      </c>
      <c r="C524" s="1" t="s">
        <v>236</v>
      </c>
      <c r="E524" s="1">
        <v>37</v>
      </c>
      <c r="F524" s="1" t="s">
        <v>2023</v>
      </c>
      <c r="H524" s="1" t="s">
        <v>3635</v>
      </c>
      <c r="I524" s="1" t="s">
        <v>7</v>
      </c>
      <c r="J524" s="1" t="s">
        <v>3636</v>
      </c>
      <c r="K524" s="1" t="s">
        <v>2027</v>
      </c>
      <c r="L524" s="1" t="s">
        <v>2026</v>
      </c>
      <c r="M524" s="1" t="s">
        <v>2890</v>
      </c>
      <c r="N524" s="1" t="s">
        <v>3637</v>
      </c>
      <c r="O524" s="1">
        <v>1</v>
      </c>
      <c r="P524" s="1" t="s">
        <v>3219</v>
      </c>
      <c r="Q524" s="1">
        <v>1999</v>
      </c>
      <c r="R524" s="1" t="s">
        <v>3220</v>
      </c>
      <c r="S524" s="1" t="s">
        <v>27</v>
      </c>
      <c r="T524" s="6">
        <v>1</v>
      </c>
      <c r="V524" s="1">
        <v>1.08</v>
      </c>
    </row>
    <row r="525" spans="1:22" x14ac:dyDescent="0.2">
      <c r="A525" s="1" t="s">
        <v>3638</v>
      </c>
      <c r="B525" s="1" t="s">
        <v>55</v>
      </c>
      <c r="C525" s="1" t="s">
        <v>236</v>
      </c>
      <c r="E525" s="1">
        <v>33</v>
      </c>
      <c r="F525" s="1" t="s">
        <v>3639</v>
      </c>
      <c r="H525" s="1" t="s">
        <v>3640</v>
      </c>
      <c r="I525" s="1" t="s">
        <v>7</v>
      </c>
      <c r="J525" s="1" t="s">
        <v>3641</v>
      </c>
      <c r="K525" s="1" t="s">
        <v>3642</v>
      </c>
      <c r="L525" s="1" t="s">
        <v>3643</v>
      </c>
      <c r="M525" s="1" t="s">
        <v>2890</v>
      </c>
      <c r="N525" s="1" t="s">
        <v>3644</v>
      </c>
      <c r="O525" s="1">
        <v>1</v>
      </c>
      <c r="P525" s="1" t="s">
        <v>3219</v>
      </c>
      <c r="Q525" s="1">
        <v>1999</v>
      </c>
      <c r="R525" s="1" t="s">
        <v>3220</v>
      </c>
      <c r="S525" s="1" t="s">
        <v>27</v>
      </c>
      <c r="T525" s="6">
        <v>1</v>
      </c>
      <c r="V525" s="1">
        <v>1.22</v>
      </c>
    </row>
    <row r="526" spans="1:22" x14ac:dyDescent="0.2">
      <c r="A526" s="1" t="s">
        <v>3645</v>
      </c>
      <c r="B526" s="1" t="s">
        <v>55</v>
      </c>
      <c r="C526" s="1" t="s">
        <v>236</v>
      </c>
      <c r="E526" s="1">
        <v>33</v>
      </c>
      <c r="F526" s="1" t="s">
        <v>3646</v>
      </c>
      <c r="H526" s="1" t="s">
        <v>3647</v>
      </c>
      <c r="I526" s="1" t="s">
        <v>7</v>
      </c>
      <c r="J526" s="1" t="s">
        <v>3648</v>
      </c>
      <c r="K526" s="1" t="s">
        <v>3649</v>
      </c>
      <c r="L526" s="1" t="s">
        <v>3650</v>
      </c>
      <c r="M526" s="1" t="s">
        <v>481</v>
      </c>
      <c r="O526" s="1">
        <v>1</v>
      </c>
      <c r="P526" s="1" t="s">
        <v>3219</v>
      </c>
      <c r="Q526" s="1">
        <v>1999</v>
      </c>
      <c r="R526" s="1" t="s">
        <v>3220</v>
      </c>
      <c r="S526" s="1" t="s">
        <v>27</v>
      </c>
      <c r="T526" s="6">
        <v>1</v>
      </c>
      <c r="V526" s="1">
        <v>1.94</v>
      </c>
    </row>
    <row r="527" spans="1:22" x14ac:dyDescent="0.2">
      <c r="A527" s="1" t="s">
        <v>3651</v>
      </c>
      <c r="B527" s="1" t="s">
        <v>55</v>
      </c>
      <c r="C527" s="1" t="s">
        <v>236</v>
      </c>
      <c r="E527" s="1">
        <v>33</v>
      </c>
      <c r="F527" s="1" t="s">
        <v>3646</v>
      </c>
      <c r="H527" s="1" t="s">
        <v>3647</v>
      </c>
      <c r="I527" s="1" t="s">
        <v>7</v>
      </c>
      <c r="J527" s="1" t="s">
        <v>3648</v>
      </c>
      <c r="K527" s="1" t="s">
        <v>3649</v>
      </c>
      <c r="L527" s="1" t="s">
        <v>3650</v>
      </c>
      <c r="O527" s="1">
        <v>1</v>
      </c>
      <c r="P527" s="1" t="s">
        <v>3219</v>
      </c>
      <c r="Q527" s="1">
        <v>1999</v>
      </c>
      <c r="R527" s="1" t="s">
        <v>3220</v>
      </c>
      <c r="S527" s="1" t="s">
        <v>27</v>
      </c>
      <c r="T527" s="6">
        <v>1</v>
      </c>
      <c r="V527" s="1">
        <v>0.96</v>
      </c>
    </row>
    <row r="528" spans="1:22" x14ac:dyDescent="0.2">
      <c r="A528" s="1" t="s">
        <v>3652</v>
      </c>
      <c r="B528" s="1" t="s">
        <v>55</v>
      </c>
      <c r="C528" s="1" t="s">
        <v>236</v>
      </c>
      <c r="E528" s="1">
        <v>38</v>
      </c>
      <c r="F528" s="1" t="s">
        <v>3653</v>
      </c>
      <c r="H528" s="1" t="s">
        <v>3654</v>
      </c>
      <c r="I528" s="1" t="s">
        <v>7</v>
      </c>
      <c r="J528" s="1" t="s">
        <v>3655</v>
      </c>
      <c r="K528" s="1" t="s">
        <v>3656</v>
      </c>
      <c r="L528" s="1" t="s">
        <v>3657</v>
      </c>
      <c r="M528" s="1" t="s">
        <v>2890</v>
      </c>
      <c r="N528" s="1" t="s">
        <v>3658</v>
      </c>
      <c r="O528" s="1">
        <v>1</v>
      </c>
      <c r="P528" s="1" t="s">
        <v>3219</v>
      </c>
      <c r="Q528" s="1">
        <v>1999</v>
      </c>
      <c r="R528" s="1" t="s">
        <v>3220</v>
      </c>
      <c r="S528" s="1" t="s">
        <v>27</v>
      </c>
      <c r="T528" s="6">
        <v>1</v>
      </c>
      <c r="V528" s="1">
        <v>0.78</v>
      </c>
    </row>
    <row r="529" spans="1:22" x14ac:dyDescent="0.2">
      <c r="A529" s="1" t="s">
        <v>3659</v>
      </c>
      <c r="B529" s="1" t="s">
        <v>55</v>
      </c>
      <c r="C529" s="1" t="s">
        <v>236</v>
      </c>
      <c r="E529" s="1">
        <v>33</v>
      </c>
      <c r="F529" s="1" t="s">
        <v>3660</v>
      </c>
      <c r="H529" s="1" t="s">
        <v>3661</v>
      </c>
      <c r="I529" s="1" t="s">
        <v>7</v>
      </c>
      <c r="J529" s="1" t="s">
        <v>3662</v>
      </c>
      <c r="K529" s="1" t="s">
        <v>3663</v>
      </c>
      <c r="L529" s="1" t="s">
        <v>3664</v>
      </c>
      <c r="M529" s="1" t="s">
        <v>2890</v>
      </c>
      <c r="N529" s="1" t="s">
        <v>3665</v>
      </c>
      <c r="O529" s="1">
        <v>1</v>
      </c>
      <c r="P529" s="1" t="s">
        <v>3219</v>
      </c>
      <c r="Q529" s="1">
        <v>1999</v>
      </c>
      <c r="R529" s="1" t="s">
        <v>3220</v>
      </c>
      <c r="S529" s="1" t="s">
        <v>27</v>
      </c>
      <c r="T529" s="6">
        <v>1</v>
      </c>
      <c r="V529" s="1">
        <v>0.72</v>
      </c>
    </row>
    <row r="530" spans="1:22" x14ac:dyDescent="0.2">
      <c r="A530" s="1" t="s">
        <v>3666</v>
      </c>
      <c r="B530" s="1" t="s">
        <v>55</v>
      </c>
      <c r="C530" s="1" t="s">
        <v>236</v>
      </c>
      <c r="E530" s="1">
        <v>34</v>
      </c>
      <c r="F530" s="1" t="s">
        <v>3667</v>
      </c>
      <c r="H530" s="1" t="s">
        <v>3668</v>
      </c>
      <c r="I530" s="1" t="s">
        <v>7</v>
      </c>
      <c r="J530" s="1" t="s">
        <v>3669</v>
      </c>
      <c r="K530" s="1" t="s">
        <v>3670</v>
      </c>
      <c r="L530" s="1" t="s">
        <v>3669</v>
      </c>
      <c r="M530" s="1" t="s">
        <v>2890</v>
      </c>
      <c r="N530" s="1" t="s">
        <v>3671</v>
      </c>
      <c r="O530" s="1">
        <v>1</v>
      </c>
      <c r="P530" s="1" t="s">
        <v>3219</v>
      </c>
      <c r="Q530" s="1">
        <v>1999</v>
      </c>
      <c r="R530" s="1" t="s">
        <v>3220</v>
      </c>
      <c r="S530" s="1" t="s">
        <v>27</v>
      </c>
      <c r="T530" s="6">
        <v>1</v>
      </c>
      <c r="V530" s="1">
        <v>0.88</v>
      </c>
    </row>
    <row r="531" spans="1:22" x14ac:dyDescent="0.2">
      <c r="A531" s="1" t="s">
        <v>3672</v>
      </c>
      <c r="B531" s="1" t="s">
        <v>55</v>
      </c>
      <c r="C531" s="1" t="s">
        <v>236</v>
      </c>
      <c r="E531" s="1">
        <v>34</v>
      </c>
      <c r="F531" s="1" t="s">
        <v>3673</v>
      </c>
      <c r="H531" s="1" t="s">
        <v>3674</v>
      </c>
      <c r="I531" s="1" t="s">
        <v>7</v>
      </c>
      <c r="J531" s="1" t="s">
        <v>3675</v>
      </c>
      <c r="K531" s="1" t="s">
        <v>3676</v>
      </c>
      <c r="L531" s="1" t="s">
        <v>3677</v>
      </c>
      <c r="M531" s="1" t="s">
        <v>2890</v>
      </c>
      <c r="N531" s="1" t="s">
        <v>3678</v>
      </c>
      <c r="O531" s="1">
        <v>1</v>
      </c>
      <c r="P531" s="1" t="s">
        <v>3219</v>
      </c>
      <c r="Q531" s="1">
        <v>1999</v>
      </c>
      <c r="R531" s="1" t="s">
        <v>3220</v>
      </c>
      <c r="S531" s="1" t="s">
        <v>27</v>
      </c>
      <c r="T531" s="6">
        <v>1</v>
      </c>
      <c r="V531" s="1">
        <v>0.87</v>
      </c>
    </row>
    <row r="532" spans="1:22" x14ac:dyDescent="0.2">
      <c r="A532" s="1" t="s">
        <v>3679</v>
      </c>
      <c r="B532" s="1" t="s">
        <v>1912</v>
      </c>
      <c r="C532" s="1" t="s">
        <v>236</v>
      </c>
      <c r="E532" s="1">
        <v>45</v>
      </c>
      <c r="F532" s="1" t="s">
        <v>3680</v>
      </c>
      <c r="H532" s="1" t="s">
        <v>3681</v>
      </c>
      <c r="I532" s="1" t="s">
        <v>7</v>
      </c>
      <c r="J532" s="1" t="s">
        <v>3682</v>
      </c>
      <c r="K532" s="1" t="s">
        <v>3683</v>
      </c>
      <c r="L532" s="1" t="s">
        <v>3682</v>
      </c>
      <c r="M532" s="1" t="s">
        <v>817</v>
      </c>
      <c r="N532" s="1" t="s">
        <v>3684</v>
      </c>
      <c r="O532" s="1">
        <v>1</v>
      </c>
      <c r="P532" s="1" t="s">
        <v>3219</v>
      </c>
      <c r="Q532" s="1">
        <v>1999</v>
      </c>
      <c r="R532" s="1" t="s">
        <v>3220</v>
      </c>
      <c r="S532" s="1" t="s">
        <v>27</v>
      </c>
      <c r="T532" s="6">
        <v>1</v>
      </c>
      <c r="V532" s="1">
        <v>1.35</v>
      </c>
    </row>
    <row r="533" spans="1:22" x14ac:dyDescent="0.2">
      <c r="A533" s="1" t="s">
        <v>3685</v>
      </c>
      <c r="B533" s="1" t="s">
        <v>1912</v>
      </c>
      <c r="C533" s="1" t="s">
        <v>236</v>
      </c>
      <c r="E533" s="1">
        <v>45</v>
      </c>
      <c r="F533" s="1" t="s">
        <v>3680</v>
      </c>
      <c r="H533" s="1" t="s">
        <v>3681</v>
      </c>
      <c r="I533" s="1" t="s">
        <v>7</v>
      </c>
      <c r="J533" s="1" t="s">
        <v>3682</v>
      </c>
      <c r="K533" s="1" t="s">
        <v>3683</v>
      </c>
      <c r="L533" s="1" t="s">
        <v>3682</v>
      </c>
      <c r="M533" s="1" t="s">
        <v>817</v>
      </c>
      <c r="N533" s="1" t="s">
        <v>3686</v>
      </c>
      <c r="O533" s="1">
        <v>1</v>
      </c>
      <c r="P533" s="1" t="s">
        <v>3219</v>
      </c>
      <c r="Q533" s="1">
        <v>1999</v>
      </c>
      <c r="R533" s="1" t="s">
        <v>3220</v>
      </c>
      <c r="S533" s="1" t="s">
        <v>27</v>
      </c>
      <c r="T533" s="6">
        <v>1</v>
      </c>
      <c r="V533" s="1">
        <v>1.34</v>
      </c>
    </row>
    <row r="534" spans="1:22" x14ac:dyDescent="0.2">
      <c r="A534" s="1" t="s">
        <v>3687</v>
      </c>
      <c r="B534" s="1" t="s">
        <v>1912</v>
      </c>
      <c r="C534" s="1" t="s">
        <v>236</v>
      </c>
      <c r="E534" s="1">
        <v>45</v>
      </c>
      <c r="F534" s="1" t="s">
        <v>3688</v>
      </c>
      <c r="H534" s="1" t="s">
        <v>3689</v>
      </c>
      <c r="I534" s="1" t="s">
        <v>7</v>
      </c>
      <c r="J534" s="1" t="s">
        <v>3690</v>
      </c>
      <c r="K534" s="1" t="s">
        <v>3691</v>
      </c>
      <c r="L534" s="1" t="s">
        <v>3690</v>
      </c>
      <c r="M534" s="1" t="s">
        <v>817</v>
      </c>
      <c r="N534" s="1" t="s">
        <v>3692</v>
      </c>
      <c r="O534" s="1">
        <v>1</v>
      </c>
      <c r="P534" s="1" t="s">
        <v>3219</v>
      </c>
      <c r="Q534" s="1">
        <v>1999</v>
      </c>
      <c r="R534" s="1" t="s">
        <v>3220</v>
      </c>
      <c r="S534" s="1" t="s">
        <v>27</v>
      </c>
      <c r="T534" s="6">
        <v>1</v>
      </c>
      <c r="V534" s="1">
        <v>0.95</v>
      </c>
    </row>
    <row r="535" spans="1:22" x14ac:dyDescent="0.2">
      <c r="A535" s="1" t="s">
        <v>3693</v>
      </c>
      <c r="B535" s="1" t="s">
        <v>1912</v>
      </c>
      <c r="C535" s="1" t="s">
        <v>236</v>
      </c>
      <c r="E535" s="1">
        <v>45</v>
      </c>
      <c r="F535" s="1" t="s">
        <v>3688</v>
      </c>
      <c r="H535" s="1" t="s">
        <v>3689</v>
      </c>
      <c r="I535" s="1" t="s">
        <v>7</v>
      </c>
      <c r="J535" s="1" t="s">
        <v>3690</v>
      </c>
      <c r="K535" s="1" t="s">
        <v>3691</v>
      </c>
      <c r="L535" s="1" t="s">
        <v>3690</v>
      </c>
      <c r="M535" s="1" t="s">
        <v>817</v>
      </c>
      <c r="N535" s="1" t="s">
        <v>3694</v>
      </c>
      <c r="O535" s="1">
        <v>1</v>
      </c>
      <c r="P535" s="1" t="s">
        <v>3219</v>
      </c>
      <c r="Q535" s="1">
        <v>1999</v>
      </c>
      <c r="R535" s="1" t="s">
        <v>3220</v>
      </c>
      <c r="S535" s="1" t="s">
        <v>27</v>
      </c>
      <c r="T535" s="6">
        <v>1</v>
      </c>
      <c r="V535" s="1">
        <v>1.22</v>
      </c>
    </row>
    <row r="536" spans="1:22" x14ac:dyDescent="0.2">
      <c r="A536" s="1" t="s">
        <v>3695</v>
      </c>
      <c r="B536" s="1" t="s">
        <v>1912</v>
      </c>
      <c r="C536" s="1" t="s">
        <v>236</v>
      </c>
      <c r="E536" s="1">
        <v>45</v>
      </c>
      <c r="F536" s="1" t="s">
        <v>3696</v>
      </c>
      <c r="H536" s="1" t="s">
        <v>3697</v>
      </c>
      <c r="I536" s="1" t="s">
        <v>7</v>
      </c>
      <c r="J536" s="1" t="s">
        <v>3698</v>
      </c>
      <c r="K536" s="1" t="s">
        <v>3699</v>
      </c>
      <c r="L536" s="1" t="s">
        <v>3698</v>
      </c>
      <c r="M536" s="1" t="s">
        <v>817</v>
      </c>
      <c r="N536" s="1" t="s">
        <v>3700</v>
      </c>
      <c r="O536" s="1">
        <v>1</v>
      </c>
      <c r="P536" s="1" t="s">
        <v>3219</v>
      </c>
      <c r="Q536" s="1">
        <v>1999</v>
      </c>
      <c r="R536" s="1" t="s">
        <v>3220</v>
      </c>
      <c r="S536" s="1" t="s">
        <v>27</v>
      </c>
      <c r="T536" s="6">
        <v>1</v>
      </c>
      <c r="V536" s="1">
        <v>1.02</v>
      </c>
    </row>
    <row r="537" spans="1:22" x14ac:dyDescent="0.2">
      <c r="A537" s="1" t="s">
        <v>3701</v>
      </c>
      <c r="B537" s="1" t="s">
        <v>1912</v>
      </c>
      <c r="C537" s="1" t="s">
        <v>236</v>
      </c>
      <c r="E537" s="1">
        <v>45</v>
      </c>
      <c r="F537" s="1" t="s">
        <v>3702</v>
      </c>
      <c r="H537" s="1" t="s">
        <v>3703</v>
      </c>
      <c r="I537" s="1" t="s">
        <v>7</v>
      </c>
      <c r="J537" s="1" t="s">
        <v>3704</v>
      </c>
      <c r="K537" s="1" t="s">
        <v>3705</v>
      </c>
      <c r="L537" s="1" t="s">
        <v>3704</v>
      </c>
      <c r="M537" s="1" t="s">
        <v>817</v>
      </c>
      <c r="N537" s="1" t="s">
        <v>3706</v>
      </c>
      <c r="O537" s="1">
        <v>1</v>
      </c>
      <c r="P537" s="1" t="s">
        <v>3219</v>
      </c>
      <c r="Q537" s="1">
        <v>1999</v>
      </c>
      <c r="R537" s="1" t="s">
        <v>3220</v>
      </c>
      <c r="S537" s="1" t="s">
        <v>27</v>
      </c>
      <c r="T537" s="6">
        <v>1</v>
      </c>
      <c r="V537" s="1">
        <v>1.34</v>
      </c>
    </row>
    <row r="538" spans="1:22" x14ac:dyDescent="0.2">
      <c r="A538" s="1" t="s">
        <v>3707</v>
      </c>
      <c r="B538" s="1" t="s">
        <v>1912</v>
      </c>
      <c r="C538" s="1" t="s">
        <v>236</v>
      </c>
      <c r="E538" s="1">
        <v>45</v>
      </c>
      <c r="F538" s="1" t="s">
        <v>3708</v>
      </c>
      <c r="H538" s="1" t="s">
        <v>3709</v>
      </c>
      <c r="I538" s="1" t="s">
        <v>7</v>
      </c>
      <c r="J538" s="1" t="s">
        <v>3710</v>
      </c>
      <c r="K538" s="1" t="s">
        <v>3711</v>
      </c>
      <c r="L538" s="1" t="s">
        <v>3712</v>
      </c>
      <c r="M538" s="1" t="s">
        <v>2890</v>
      </c>
      <c r="N538" s="1" t="s">
        <v>3713</v>
      </c>
      <c r="O538" s="1">
        <v>1</v>
      </c>
      <c r="P538" s="1" t="s">
        <v>3219</v>
      </c>
      <c r="Q538" s="1">
        <v>1999</v>
      </c>
      <c r="R538" s="1" t="s">
        <v>3220</v>
      </c>
      <c r="S538" s="1" t="s">
        <v>27</v>
      </c>
      <c r="T538" s="6">
        <v>1</v>
      </c>
      <c r="V538" s="1">
        <v>0.98</v>
      </c>
    </row>
    <row r="539" spans="1:22" x14ac:dyDescent="0.2">
      <c r="A539" s="1" t="s">
        <v>3714</v>
      </c>
      <c r="B539" s="1" t="s">
        <v>1912</v>
      </c>
      <c r="C539" s="1" t="s">
        <v>236</v>
      </c>
      <c r="E539" s="1">
        <v>42</v>
      </c>
      <c r="F539" s="1" t="s">
        <v>3715</v>
      </c>
      <c r="H539" s="1" t="s">
        <v>3716</v>
      </c>
      <c r="I539" s="1" t="s">
        <v>7</v>
      </c>
      <c r="J539" s="1" t="s">
        <v>3717</v>
      </c>
      <c r="K539" s="1" t="s">
        <v>3718</v>
      </c>
      <c r="L539" s="1" t="s">
        <v>3719</v>
      </c>
      <c r="M539" s="1" t="s">
        <v>749</v>
      </c>
      <c r="N539" s="1" t="s">
        <v>3720</v>
      </c>
      <c r="O539" s="1">
        <v>1</v>
      </c>
      <c r="P539" s="1" t="s">
        <v>3219</v>
      </c>
      <c r="Q539" s="1">
        <v>1999</v>
      </c>
      <c r="R539" s="1" t="s">
        <v>3220</v>
      </c>
      <c r="S539" s="1" t="s">
        <v>27</v>
      </c>
      <c r="T539" s="6">
        <v>1</v>
      </c>
      <c r="V539" s="1">
        <v>0.75</v>
      </c>
    </row>
    <row r="540" spans="1:22" x14ac:dyDescent="0.2">
      <c r="A540" s="1" t="s">
        <v>3721</v>
      </c>
      <c r="B540" s="1" t="s">
        <v>1912</v>
      </c>
      <c r="C540" s="1" t="s">
        <v>236</v>
      </c>
      <c r="E540" s="1">
        <v>42</v>
      </c>
      <c r="F540" s="1" t="s">
        <v>3715</v>
      </c>
      <c r="H540" s="1" t="s">
        <v>3722</v>
      </c>
      <c r="I540" s="1" t="s">
        <v>7</v>
      </c>
      <c r="J540" s="1" t="s">
        <v>3719</v>
      </c>
      <c r="K540" s="1" t="s">
        <v>3718</v>
      </c>
      <c r="L540" s="1" t="s">
        <v>3719</v>
      </c>
      <c r="O540" s="1">
        <v>1</v>
      </c>
      <c r="P540" s="1" t="s">
        <v>3219</v>
      </c>
      <c r="Q540" s="1">
        <v>1999</v>
      </c>
      <c r="R540" s="1" t="s">
        <v>3220</v>
      </c>
      <c r="S540" s="1" t="s">
        <v>27</v>
      </c>
      <c r="T540" s="6">
        <v>1</v>
      </c>
      <c r="V540" s="1">
        <v>0.64</v>
      </c>
    </row>
    <row r="541" spans="1:22" x14ac:dyDescent="0.2">
      <c r="A541" s="1" t="s">
        <v>3723</v>
      </c>
      <c r="B541" s="1" t="s">
        <v>1912</v>
      </c>
      <c r="C541" s="1" t="s">
        <v>236</v>
      </c>
      <c r="E541" s="1">
        <v>42</v>
      </c>
      <c r="F541" s="1" t="s">
        <v>3724</v>
      </c>
      <c r="H541" s="1" t="s">
        <v>3725</v>
      </c>
      <c r="I541" s="1" t="s">
        <v>7</v>
      </c>
      <c r="J541" s="1" t="s">
        <v>3726</v>
      </c>
      <c r="K541" s="1" t="s">
        <v>3727</v>
      </c>
      <c r="L541" s="1" t="s">
        <v>3728</v>
      </c>
      <c r="M541" s="1" t="s">
        <v>749</v>
      </c>
      <c r="N541" s="1" t="s">
        <v>3729</v>
      </c>
      <c r="O541" s="1">
        <v>1</v>
      </c>
      <c r="P541" s="1" t="s">
        <v>3219</v>
      </c>
      <c r="Q541" s="1">
        <v>1999</v>
      </c>
      <c r="R541" s="1" t="s">
        <v>3220</v>
      </c>
      <c r="S541" s="1" t="s">
        <v>27</v>
      </c>
      <c r="T541" s="6">
        <v>1</v>
      </c>
      <c r="V541" s="1">
        <v>0.57999999999999996</v>
      </c>
    </row>
    <row r="542" spans="1:22" x14ac:dyDescent="0.2">
      <c r="A542" s="1" t="s">
        <v>3730</v>
      </c>
      <c r="B542" s="1" t="s">
        <v>1912</v>
      </c>
      <c r="C542" s="1" t="s">
        <v>236</v>
      </c>
      <c r="E542" s="1">
        <v>42</v>
      </c>
      <c r="F542" s="1" t="s">
        <v>3731</v>
      </c>
      <c r="H542" s="1" t="s">
        <v>3732</v>
      </c>
      <c r="I542" s="1" t="s">
        <v>7</v>
      </c>
      <c r="J542" s="1" t="s">
        <v>3733</v>
      </c>
      <c r="K542" s="1" t="s">
        <v>3734</v>
      </c>
      <c r="L542" s="1" t="s">
        <v>3735</v>
      </c>
      <c r="M542" s="1" t="s">
        <v>749</v>
      </c>
      <c r="N542" s="1" t="s">
        <v>3736</v>
      </c>
      <c r="O542" s="1">
        <v>1</v>
      </c>
      <c r="P542" s="1" t="s">
        <v>3219</v>
      </c>
      <c r="Q542" s="1">
        <v>1999</v>
      </c>
      <c r="R542" s="1" t="s">
        <v>3220</v>
      </c>
      <c r="S542" s="1" t="s">
        <v>27</v>
      </c>
      <c r="T542" s="6">
        <v>1</v>
      </c>
      <c r="V542" s="1">
        <v>0.7</v>
      </c>
    </row>
    <row r="543" spans="1:22" x14ac:dyDescent="0.2">
      <c r="A543" s="1" t="s">
        <v>3737</v>
      </c>
      <c r="B543" s="1" t="s">
        <v>1912</v>
      </c>
      <c r="C543" s="1" t="s">
        <v>236</v>
      </c>
      <c r="E543" s="1">
        <v>42</v>
      </c>
      <c r="F543" s="1" t="s">
        <v>3731</v>
      </c>
      <c r="H543" s="1" t="s">
        <v>3732</v>
      </c>
      <c r="I543" s="1" t="s">
        <v>7</v>
      </c>
      <c r="J543" s="1" t="s">
        <v>3733</v>
      </c>
      <c r="K543" s="1" t="s">
        <v>3734</v>
      </c>
      <c r="L543" s="1" t="s">
        <v>3735</v>
      </c>
      <c r="M543" s="1" t="s">
        <v>2890</v>
      </c>
      <c r="N543" s="1" t="s">
        <v>3738</v>
      </c>
      <c r="O543" s="1">
        <v>1</v>
      </c>
      <c r="P543" s="1" t="s">
        <v>3219</v>
      </c>
      <c r="Q543" s="1">
        <v>1999</v>
      </c>
      <c r="R543" s="1" t="s">
        <v>3220</v>
      </c>
      <c r="S543" s="1" t="s">
        <v>27</v>
      </c>
      <c r="T543" s="6">
        <v>1</v>
      </c>
      <c r="V543" s="1">
        <v>0.76</v>
      </c>
    </row>
    <row r="544" spans="1:22" x14ac:dyDescent="0.2">
      <c r="A544" s="1" t="s">
        <v>3739</v>
      </c>
      <c r="B544" s="1" t="s">
        <v>1912</v>
      </c>
      <c r="C544" s="1" t="s">
        <v>236</v>
      </c>
      <c r="E544" s="1">
        <v>42</v>
      </c>
      <c r="F544" s="1" t="s">
        <v>3740</v>
      </c>
      <c r="H544" s="1" t="s">
        <v>3741</v>
      </c>
      <c r="I544" s="1" t="s">
        <v>7</v>
      </c>
      <c r="J544" s="1" t="s">
        <v>3742</v>
      </c>
      <c r="K544" s="1" t="s">
        <v>3743</v>
      </c>
      <c r="L544" s="1" t="s">
        <v>3742</v>
      </c>
      <c r="M544" s="1" t="s">
        <v>749</v>
      </c>
      <c r="N544" s="1" t="s">
        <v>3744</v>
      </c>
      <c r="O544" s="1">
        <v>1</v>
      </c>
      <c r="P544" s="1" t="s">
        <v>3219</v>
      </c>
      <c r="Q544" s="1">
        <v>1999</v>
      </c>
      <c r="R544" s="1" t="s">
        <v>3220</v>
      </c>
      <c r="S544" s="1" t="s">
        <v>27</v>
      </c>
      <c r="T544" s="6">
        <v>1</v>
      </c>
      <c r="V544" s="1">
        <v>0.68</v>
      </c>
    </row>
    <row r="545" spans="1:24" x14ac:dyDescent="0.2">
      <c r="A545" s="1" t="s">
        <v>3745</v>
      </c>
      <c r="B545" s="1" t="s">
        <v>57</v>
      </c>
      <c r="C545" s="1" t="s">
        <v>236</v>
      </c>
      <c r="E545" s="1">
        <v>57</v>
      </c>
      <c r="F545" s="1" t="s">
        <v>3746</v>
      </c>
      <c r="H545" s="1" t="s">
        <v>3747</v>
      </c>
      <c r="I545" s="1" t="s">
        <v>7</v>
      </c>
      <c r="J545" s="1" t="s">
        <v>3748</v>
      </c>
      <c r="K545" s="1" t="s">
        <v>3749</v>
      </c>
      <c r="L545" s="1" t="s">
        <v>3750</v>
      </c>
      <c r="O545" s="1">
        <v>1</v>
      </c>
      <c r="P545" s="1" t="s">
        <v>3219</v>
      </c>
      <c r="Q545" s="1">
        <v>1999</v>
      </c>
      <c r="R545" s="1" t="s">
        <v>3220</v>
      </c>
      <c r="S545" s="1" t="s">
        <v>27</v>
      </c>
      <c r="T545" s="6">
        <v>1</v>
      </c>
      <c r="V545" s="1">
        <v>1.3</v>
      </c>
    </row>
    <row r="546" spans="1:24" x14ac:dyDescent="0.2">
      <c r="A546" s="1" t="s">
        <v>3751</v>
      </c>
      <c r="B546" s="1" t="s">
        <v>57</v>
      </c>
      <c r="C546" s="1" t="s">
        <v>236</v>
      </c>
      <c r="E546" s="1">
        <v>57</v>
      </c>
      <c r="F546" s="1" t="s">
        <v>3746</v>
      </c>
      <c r="H546" s="1" t="s">
        <v>3747</v>
      </c>
      <c r="I546" s="1" t="s">
        <v>7</v>
      </c>
      <c r="J546" s="1" t="s">
        <v>3750</v>
      </c>
      <c r="K546" s="1" t="s">
        <v>3749</v>
      </c>
      <c r="L546" s="1" t="s">
        <v>3750</v>
      </c>
      <c r="M546" s="1" t="s">
        <v>2890</v>
      </c>
      <c r="N546" s="1" t="s">
        <v>3752</v>
      </c>
      <c r="O546" s="1">
        <v>1</v>
      </c>
      <c r="P546" s="1" t="s">
        <v>3219</v>
      </c>
      <c r="Q546" s="1">
        <v>1999</v>
      </c>
      <c r="R546" s="1" t="s">
        <v>3220</v>
      </c>
      <c r="S546" s="1" t="s">
        <v>27</v>
      </c>
      <c r="T546" s="6">
        <v>1</v>
      </c>
      <c r="V546" s="1">
        <v>0.92</v>
      </c>
    </row>
    <row r="547" spans="1:24" x14ac:dyDescent="0.2">
      <c r="A547" s="1" t="s">
        <v>3753</v>
      </c>
      <c r="B547" s="1" t="s">
        <v>57</v>
      </c>
      <c r="C547" s="1" t="s">
        <v>236</v>
      </c>
      <c r="E547" s="1">
        <v>57</v>
      </c>
      <c r="F547" s="1" t="s">
        <v>3754</v>
      </c>
      <c r="H547" s="1" t="s">
        <v>3755</v>
      </c>
      <c r="I547" s="1" t="s">
        <v>7</v>
      </c>
      <c r="J547" s="1" t="s">
        <v>3756</v>
      </c>
      <c r="K547" s="1" t="s">
        <v>3757</v>
      </c>
      <c r="L547" s="1" t="s">
        <v>3756</v>
      </c>
      <c r="M547" s="1" t="s">
        <v>2890</v>
      </c>
      <c r="N547" s="1" t="s">
        <v>3758</v>
      </c>
      <c r="O547" s="1">
        <v>1</v>
      </c>
      <c r="P547" s="1" t="s">
        <v>3219</v>
      </c>
      <c r="Q547" s="1">
        <v>1999</v>
      </c>
      <c r="R547" s="1" t="s">
        <v>3220</v>
      </c>
      <c r="S547" s="1" t="s">
        <v>27</v>
      </c>
      <c r="T547" s="6">
        <v>1</v>
      </c>
      <c r="V547" s="1">
        <v>1.4</v>
      </c>
    </row>
    <row r="548" spans="1:24" x14ac:dyDescent="0.2">
      <c r="A548" s="1" t="s">
        <v>3759</v>
      </c>
      <c r="B548" s="1" t="s">
        <v>57</v>
      </c>
      <c r="C548" s="1" t="s">
        <v>236</v>
      </c>
      <c r="E548" s="1">
        <v>57</v>
      </c>
      <c r="F548" s="1" t="s">
        <v>3754</v>
      </c>
      <c r="H548" s="1" t="s">
        <v>3755</v>
      </c>
      <c r="I548" s="1" t="s">
        <v>7</v>
      </c>
      <c r="J548" s="1" t="s">
        <v>3756</v>
      </c>
      <c r="K548" s="1" t="s">
        <v>3757</v>
      </c>
      <c r="L548" s="1" t="s">
        <v>3756</v>
      </c>
      <c r="O548" s="1">
        <v>1</v>
      </c>
      <c r="P548" s="1" t="s">
        <v>3219</v>
      </c>
      <c r="Q548" s="1">
        <v>1999</v>
      </c>
      <c r="R548" s="1" t="s">
        <v>3220</v>
      </c>
      <c r="S548" s="1" t="s">
        <v>27</v>
      </c>
      <c r="T548" s="6">
        <v>1</v>
      </c>
      <c r="V548" s="1">
        <v>1.33</v>
      </c>
    </row>
    <row r="549" spans="1:24" x14ac:dyDescent="0.2">
      <c r="A549" s="1" t="s">
        <v>3760</v>
      </c>
      <c r="B549" s="1" t="s">
        <v>57</v>
      </c>
      <c r="C549" s="1" t="s">
        <v>3761</v>
      </c>
      <c r="E549" s="1">
        <v>52</v>
      </c>
      <c r="F549" s="1" t="s">
        <v>3762</v>
      </c>
      <c r="H549" s="1" t="s">
        <v>3763</v>
      </c>
      <c r="I549" s="1" t="s">
        <v>7</v>
      </c>
      <c r="J549" s="1" t="s">
        <v>3764</v>
      </c>
      <c r="K549" s="1" t="s">
        <v>3765</v>
      </c>
      <c r="L549" s="1" t="s">
        <v>3766</v>
      </c>
      <c r="Q549" s="1">
        <v>1976</v>
      </c>
      <c r="R549" s="1" t="s">
        <v>3767</v>
      </c>
      <c r="S549" s="1" t="s">
        <v>27</v>
      </c>
      <c r="T549" s="6">
        <v>1</v>
      </c>
      <c r="U549" s="1">
        <v>76.900000000000006</v>
      </c>
      <c r="X549" s="1">
        <v>0.7</v>
      </c>
    </row>
    <row r="550" spans="1:24" x14ac:dyDescent="0.2">
      <c r="A550" s="1" t="s">
        <v>3768</v>
      </c>
      <c r="B550" s="1" t="s">
        <v>57</v>
      </c>
      <c r="C550" s="1" t="s">
        <v>3761</v>
      </c>
      <c r="E550" s="1">
        <v>56</v>
      </c>
      <c r="F550" s="1" t="s">
        <v>3769</v>
      </c>
      <c r="H550" s="1" t="s">
        <v>3770</v>
      </c>
      <c r="I550" s="1" t="s">
        <v>7</v>
      </c>
      <c r="J550" s="1" t="s">
        <v>3771</v>
      </c>
      <c r="K550" s="1" t="s">
        <v>3772</v>
      </c>
      <c r="L550" s="1" t="s">
        <v>3771</v>
      </c>
      <c r="Q550" s="1">
        <v>1976</v>
      </c>
      <c r="R550" s="1" t="s">
        <v>3767</v>
      </c>
      <c r="S550" s="1" t="s">
        <v>27</v>
      </c>
      <c r="T550" s="6">
        <v>1</v>
      </c>
      <c r="U550" s="1">
        <v>80</v>
      </c>
      <c r="X550" s="1">
        <v>1.23</v>
      </c>
    </row>
    <row r="551" spans="1:24" x14ac:dyDescent="0.2">
      <c r="A551" s="1" t="s">
        <v>3773</v>
      </c>
      <c r="B551" s="1" t="s">
        <v>57</v>
      </c>
      <c r="C551" s="1" t="s">
        <v>3761</v>
      </c>
      <c r="E551" s="1">
        <v>56</v>
      </c>
      <c r="F551" s="1" t="s">
        <v>3774</v>
      </c>
      <c r="H551" s="1" t="s">
        <v>3775</v>
      </c>
      <c r="I551" s="1" t="s">
        <v>7</v>
      </c>
      <c r="J551" s="1" t="s">
        <v>3776</v>
      </c>
      <c r="K551" s="1" t="s">
        <v>3777</v>
      </c>
      <c r="L551" s="1" t="s">
        <v>3778</v>
      </c>
      <c r="Q551" s="1">
        <v>1976</v>
      </c>
      <c r="R551" s="1" t="s">
        <v>3767</v>
      </c>
      <c r="S551" s="1" t="s">
        <v>27</v>
      </c>
      <c r="T551" s="6">
        <v>1</v>
      </c>
      <c r="U551" s="1">
        <v>82.4</v>
      </c>
      <c r="X551" s="1">
        <v>1</v>
      </c>
    </row>
    <row r="552" spans="1:24" x14ac:dyDescent="0.2">
      <c r="A552" s="1" t="s">
        <v>3779</v>
      </c>
      <c r="B552" s="1" t="s">
        <v>57</v>
      </c>
      <c r="C552" s="1" t="s">
        <v>3761</v>
      </c>
      <c r="E552" s="1">
        <v>56</v>
      </c>
      <c r="F552" s="1" t="s">
        <v>3780</v>
      </c>
      <c r="H552" s="1" t="s">
        <v>3781</v>
      </c>
      <c r="I552" s="1" t="s">
        <v>7</v>
      </c>
      <c r="J552" s="1" t="s">
        <v>3782</v>
      </c>
      <c r="K552" s="1" t="s">
        <v>3783</v>
      </c>
      <c r="L552" s="1" t="s">
        <v>3782</v>
      </c>
      <c r="Q552" s="1">
        <v>1976</v>
      </c>
      <c r="R552" s="1" t="s">
        <v>3767</v>
      </c>
      <c r="S552" s="1" t="s">
        <v>27</v>
      </c>
      <c r="T552" s="6">
        <v>1</v>
      </c>
      <c r="U552" s="1">
        <v>79.400000000000006</v>
      </c>
      <c r="X552" s="1">
        <v>1</v>
      </c>
    </row>
    <row r="553" spans="1:24" x14ac:dyDescent="0.2">
      <c r="A553" s="1" t="s">
        <v>3784</v>
      </c>
      <c r="B553" s="1" t="s">
        <v>55</v>
      </c>
      <c r="C553" s="1" t="s">
        <v>3785</v>
      </c>
      <c r="E553" s="1">
        <v>32</v>
      </c>
      <c r="F553" s="1" t="s">
        <v>3786</v>
      </c>
      <c r="H553" s="1" t="s">
        <v>3787</v>
      </c>
      <c r="I553" s="1" t="s">
        <v>7</v>
      </c>
      <c r="J553" s="1" t="s">
        <v>3788</v>
      </c>
      <c r="K553" s="1" t="s">
        <v>3789</v>
      </c>
      <c r="L553" s="1" t="s">
        <v>3788</v>
      </c>
      <c r="Q553" s="1">
        <v>1976</v>
      </c>
      <c r="R553" s="1" t="s">
        <v>3767</v>
      </c>
      <c r="S553" s="1" t="s">
        <v>27</v>
      </c>
      <c r="T553" s="6">
        <v>1</v>
      </c>
      <c r="U553" s="1">
        <v>81.099999999999994</v>
      </c>
      <c r="X553" s="1">
        <v>0.66</v>
      </c>
    </row>
    <row r="554" spans="1:24" x14ac:dyDescent="0.2">
      <c r="A554" s="1" t="s">
        <v>3790</v>
      </c>
      <c r="B554" s="1" t="s">
        <v>55</v>
      </c>
      <c r="C554" s="1" t="s">
        <v>3791</v>
      </c>
      <c r="E554" s="1">
        <v>33</v>
      </c>
      <c r="F554" s="1" t="s">
        <v>3792</v>
      </c>
      <c r="H554" s="1" t="s">
        <v>3793</v>
      </c>
      <c r="I554" s="1" t="s">
        <v>7</v>
      </c>
      <c r="J554" s="1" t="s">
        <v>3794</v>
      </c>
      <c r="K554" s="1" t="s">
        <v>3795</v>
      </c>
      <c r="L554" s="1" t="s">
        <v>3794</v>
      </c>
      <c r="Q554" s="1">
        <v>1976</v>
      </c>
      <c r="R554" s="1" t="s">
        <v>3767</v>
      </c>
      <c r="S554" s="1" t="s">
        <v>27</v>
      </c>
      <c r="T554" s="6">
        <v>1</v>
      </c>
      <c r="U554" s="1">
        <v>81.099999999999994</v>
      </c>
      <c r="X554" s="1">
        <v>0.96</v>
      </c>
    </row>
    <row r="555" spans="1:24" x14ac:dyDescent="0.2">
      <c r="A555" s="1" t="s">
        <v>3796</v>
      </c>
      <c r="B555" s="1" t="s">
        <v>1912</v>
      </c>
      <c r="C555" s="1" t="s">
        <v>3797</v>
      </c>
      <c r="E555" s="1">
        <v>42</v>
      </c>
      <c r="F555" s="1" t="s">
        <v>3798</v>
      </c>
      <c r="H555" s="1" t="s">
        <v>3799</v>
      </c>
      <c r="I555" s="1" t="s">
        <v>7</v>
      </c>
      <c r="J555" s="1" t="s">
        <v>3800</v>
      </c>
      <c r="K555" s="1" t="s">
        <v>3801</v>
      </c>
      <c r="L555" s="1" t="s">
        <v>3800</v>
      </c>
      <c r="Q555" s="1">
        <v>1976</v>
      </c>
      <c r="R555" s="1" t="s">
        <v>3767</v>
      </c>
      <c r="S555" s="1" t="s">
        <v>27</v>
      </c>
      <c r="T555" s="6">
        <v>1</v>
      </c>
      <c r="U555" s="1">
        <v>78.099999999999994</v>
      </c>
      <c r="X555" s="1">
        <v>0.87</v>
      </c>
    </row>
    <row r="556" spans="1:24" x14ac:dyDescent="0.2">
      <c r="A556" s="1" t="s">
        <v>3802</v>
      </c>
      <c r="B556" s="1" t="s">
        <v>1912</v>
      </c>
      <c r="C556" s="1" t="s">
        <v>3797</v>
      </c>
      <c r="E556" s="1">
        <v>42</v>
      </c>
      <c r="F556" s="1" t="s">
        <v>3798</v>
      </c>
      <c r="H556" s="1" t="s">
        <v>3803</v>
      </c>
      <c r="I556" s="1" t="s">
        <v>7</v>
      </c>
      <c r="J556" s="1" t="s">
        <v>3800</v>
      </c>
      <c r="K556" s="1" t="s">
        <v>3801</v>
      </c>
      <c r="L556" s="1" t="s">
        <v>3800</v>
      </c>
      <c r="Q556" s="1">
        <v>1976</v>
      </c>
      <c r="R556" s="1" t="s">
        <v>3767</v>
      </c>
      <c r="S556" s="1" t="s">
        <v>27</v>
      </c>
      <c r="T556" s="6">
        <v>1</v>
      </c>
      <c r="U556" s="1">
        <v>78.900000000000006</v>
      </c>
      <c r="X556" s="1">
        <v>0.82</v>
      </c>
    </row>
    <row r="557" spans="1:24" x14ac:dyDescent="0.2">
      <c r="A557" s="1" t="s">
        <v>3804</v>
      </c>
      <c r="B557" s="1" t="s">
        <v>1912</v>
      </c>
      <c r="C557" s="1" t="s">
        <v>3805</v>
      </c>
      <c r="E557" s="1">
        <v>44</v>
      </c>
      <c r="F557" s="1" t="s">
        <v>3806</v>
      </c>
      <c r="H557" s="1" t="s">
        <v>3807</v>
      </c>
      <c r="I557" s="1" t="s">
        <v>7</v>
      </c>
      <c r="J557" s="1" t="s">
        <v>3808</v>
      </c>
      <c r="K557" s="1" t="s">
        <v>3809</v>
      </c>
      <c r="L557" s="1" t="s">
        <v>3810</v>
      </c>
      <c r="Q557" s="1">
        <v>1976</v>
      </c>
      <c r="R557" s="1" t="s">
        <v>3767</v>
      </c>
      <c r="S557" s="1" t="s">
        <v>27</v>
      </c>
      <c r="T557" s="6">
        <v>1</v>
      </c>
      <c r="U557" s="1">
        <v>86.1</v>
      </c>
      <c r="X557" s="1">
        <v>0.6</v>
      </c>
    </row>
    <row r="558" spans="1:24" x14ac:dyDescent="0.2">
      <c r="A558" s="1" t="s">
        <v>3811</v>
      </c>
      <c r="B558" s="1" t="s">
        <v>1912</v>
      </c>
      <c r="C558" s="1" t="s">
        <v>3805</v>
      </c>
      <c r="E558" s="1">
        <v>44</v>
      </c>
      <c r="F558" s="1" t="s">
        <v>3806</v>
      </c>
      <c r="H558" s="1" t="s">
        <v>3812</v>
      </c>
      <c r="I558" s="1" t="s">
        <v>7</v>
      </c>
      <c r="J558" s="1" t="s">
        <v>3808</v>
      </c>
      <c r="K558" s="1" t="s">
        <v>3809</v>
      </c>
      <c r="L558" s="1" t="s">
        <v>3810</v>
      </c>
      <c r="Q558" s="1">
        <v>1976</v>
      </c>
      <c r="R558" s="1" t="s">
        <v>3767</v>
      </c>
      <c r="S558" s="1" t="s">
        <v>27</v>
      </c>
      <c r="T558" s="6">
        <v>1</v>
      </c>
      <c r="U558" s="1">
        <v>86</v>
      </c>
      <c r="X558" s="1">
        <v>0.69</v>
      </c>
    </row>
    <row r="559" spans="1:24" x14ac:dyDescent="0.2">
      <c r="A559" s="1" t="s">
        <v>3813</v>
      </c>
      <c r="B559" s="1" t="s">
        <v>1912</v>
      </c>
      <c r="C559" s="1" t="s">
        <v>3805</v>
      </c>
      <c r="E559" s="1">
        <v>44</v>
      </c>
      <c r="F559" s="1" t="s">
        <v>3806</v>
      </c>
      <c r="H559" s="1" t="s">
        <v>3814</v>
      </c>
      <c r="I559" s="1" t="s">
        <v>7</v>
      </c>
      <c r="J559" s="1" t="s">
        <v>3808</v>
      </c>
      <c r="K559" s="1" t="s">
        <v>3809</v>
      </c>
      <c r="L559" s="1" t="s">
        <v>3810</v>
      </c>
      <c r="Q559" s="1">
        <v>1976</v>
      </c>
      <c r="R559" s="1" t="s">
        <v>3767</v>
      </c>
      <c r="S559" s="1" t="s">
        <v>27</v>
      </c>
      <c r="T559" s="6">
        <v>1</v>
      </c>
      <c r="U559" s="1">
        <v>79.599999999999994</v>
      </c>
      <c r="X559" s="1">
        <v>1.1599999999999999</v>
      </c>
    </row>
    <row r="560" spans="1:24" x14ac:dyDescent="0.2">
      <c r="A560" s="1" t="s">
        <v>3815</v>
      </c>
      <c r="B560" s="1" t="s">
        <v>57</v>
      </c>
      <c r="C560" s="1" t="s">
        <v>3761</v>
      </c>
      <c r="E560" s="1">
        <v>76</v>
      </c>
      <c r="F560" s="1" t="s">
        <v>3816</v>
      </c>
      <c r="H560" s="1" t="s">
        <v>3817</v>
      </c>
      <c r="I560" s="1" t="s">
        <v>7</v>
      </c>
      <c r="J560" s="1" t="s">
        <v>3818</v>
      </c>
      <c r="K560" s="1" t="s">
        <v>3819</v>
      </c>
      <c r="L560" s="1" t="s">
        <v>3820</v>
      </c>
      <c r="Q560" s="1">
        <v>1976</v>
      </c>
      <c r="R560" s="1" t="s">
        <v>3767</v>
      </c>
      <c r="S560" s="1" t="s">
        <v>27</v>
      </c>
      <c r="T560" s="6">
        <v>1</v>
      </c>
      <c r="U560" s="1">
        <v>86.2</v>
      </c>
      <c r="X560" s="1">
        <v>0.6</v>
      </c>
    </row>
    <row r="561" spans="1:24" x14ac:dyDescent="0.2">
      <c r="A561" s="1" t="s">
        <v>3821</v>
      </c>
      <c r="B561" s="1" t="s">
        <v>55</v>
      </c>
      <c r="C561" s="1" t="s">
        <v>3822</v>
      </c>
      <c r="E561" s="1">
        <v>38</v>
      </c>
      <c r="F561" s="1" t="s">
        <v>3823</v>
      </c>
      <c r="H561" s="1" t="s">
        <v>3824</v>
      </c>
      <c r="I561" s="1" t="s">
        <v>7</v>
      </c>
      <c r="J561" s="1" t="s">
        <v>3825</v>
      </c>
      <c r="K561" s="1" t="s">
        <v>3826</v>
      </c>
      <c r="L561" s="1" t="s">
        <v>3825</v>
      </c>
      <c r="Q561" s="1">
        <v>1976</v>
      </c>
      <c r="R561" s="1" t="s">
        <v>3767</v>
      </c>
      <c r="S561" s="1" t="s">
        <v>27</v>
      </c>
      <c r="T561" s="6">
        <v>1</v>
      </c>
      <c r="U561" s="1">
        <v>70.599999999999994</v>
      </c>
      <c r="X561" s="1">
        <v>13.4</v>
      </c>
    </row>
    <row r="562" spans="1:24" x14ac:dyDescent="0.2">
      <c r="A562" s="1" t="s">
        <v>3827</v>
      </c>
      <c r="B562" s="1" t="s">
        <v>55</v>
      </c>
      <c r="C562" s="1" t="s">
        <v>3828</v>
      </c>
      <c r="E562" s="1">
        <v>38</v>
      </c>
      <c r="F562" s="1" t="s">
        <v>3823</v>
      </c>
      <c r="H562" s="1" t="s">
        <v>3829</v>
      </c>
      <c r="I562" s="1" t="s">
        <v>7</v>
      </c>
      <c r="J562" s="1" t="s">
        <v>3825</v>
      </c>
      <c r="K562" s="1" t="s">
        <v>3826</v>
      </c>
      <c r="L562" s="1" t="s">
        <v>3825</v>
      </c>
      <c r="Q562" s="1">
        <v>1976</v>
      </c>
      <c r="R562" s="1" t="s">
        <v>3767</v>
      </c>
      <c r="S562" s="1" t="s">
        <v>27</v>
      </c>
      <c r="T562" s="6">
        <v>1</v>
      </c>
      <c r="U562" s="1">
        <v>69.5</v>
      </c>
      <c r="X562" s="1">
        <v>15.3</v>
      </c>
    </row>
    <row r="563" spans="1:24" x14ac:dyDescent="0.2">
      <c r="A563" s="1" t="s">
        <v>3830</v>
      </c>
      <c r="B563" s="1" t="s">
        <v>55</v>
      </c>
      <c r="C563" s="1" t="s">
        <v>3831</v>
      </c>
      <c r="E563" s="1">
        <v>23</v>
      </c>
      <c r="F563" s="1" t="s">
        <v>3832</v>
      </c>
      <c r="H563" s="1" t="s">
        <v>3833</v>
      </c>
      <c r="I563" s="1" t="s">
        <v>7</v>
      </c>
      <c r="J563" s="1" t="s">
        <v>3834</v>
      </c>
      <c r="K563" s="1" t="s">
        <v>3835</v>
      </c>
      <c r="L563" s="1" t="s">
        <v>3834</v>
      </c>
      <c r="Q563" s="1">
        <v>1976</v>
      </c>
      <c r="R563" s="1" t="s">
        <v>3767</v>
      </c>
      <c r="S563" s="1" t="s">
        <v>27</v>
      </c>
      <c r="T563" s="6">
        <v>1</v>
      </c>
      <c r="U563" s="1">
        <v>79.599999999999994</v>
      </c>
      <c r="X563" s="1">
        <v>6.25</v>
      </c>
    </row>
    <row r="564" spans="1:24" x14ac:dyDescent="0.2">
      <c r="A564" s="1" t="s">
        <v>3836</v>
      </c>
      <c r="B564" s="1" t="s">
        <v>55</v>
      </c>
      <c r="C564" s="1" t="s">
        <v>3837</v>
      </c>
      <c r="E564" s="1">
        <v>31</v>
      </c>
      <c r="F564" s="1" t="s">
        <v>3838</v>
      </c>
      <c r="H564" s="1" t="s">
        <v>3839</v>
      </c>
      <c r="I564" s="1" t="s">
        <v>7</v>
      </c>
      <c r="J564" s="1" t="s">
        <v>3840</v>
      </c>
      <c r="K564" s="1" t="s">
        <v>3841</v>
      </c>
      <c r="L564" s="1" t="s">
        <v>3840</v>
      </c>
      <c r="Q564" s="1">
        <v>1976</v>
      </c>
      <c r="R564" s="1" t="s">
        <v>3767</v>
      </c>
      <c r="S564" s="1" t="s">
        <v>27</v>
      </c>
      <c r="T564" s="6">
        <v>1</v>
      </c>
      <c r="U564" s="1">
        <v>79.5</v>
      </c>
      <c r="X564" s="1">
        <v>2.2999999999999998</v>
      </c>
    </row>
    <row r="565" spans="1:24" x14ac:dyDescent="0.2">
      <c r="A565" s="1" t="s">
        <v>3842</v>
      </c>
      <c r="B565" s="1" t="s">
        <v>55</v>
      </c>
      <c r="C565" s="1" t="s">
        <v>3843</v>
      </c>
      <c r="E565" s="1">
        <v>31</v>
      </c>
      <c r="F565" s="1" t="s">
        <v>3844</v>
      </c>
      <c r="H565" s="1" t="s">
        <v>3845</v>
      </c>
      <c r="I565" s="1" t="s">
        <v>7</v>
      </c>
      <c r="J565" s="1" t="s">
        <v>3846</v>
      </c>
      <c r="K565" s="1" t="s">
        <v>3847</v>
      </c>
      <c r="L565" s="1" t="s">
        <v>3846</v>
      </c>
      <c r="Q565" s="1">
        <v>1976</v>
      </c>
      <c r="R565" s="1" t="s">
        <v>3767</v>
      </c>
      <c r="S565" s="1" t="s">
        <v>27</v>
      </c>
      <c r="T565" s="6">
        <v>1</v>
      </c>
      <c r="U565" s="1">
        <v>80.3</v>
      </c>
      <c r="X565" s="1">
        <v>1.4</v>
      </c>
    </row>
    <row r="566" spans="1:24" x14ac:dyDescent="0.2">
      <c r="A566" s="1" t="s">
        <v>3848</v>
      </c>
      <c r="B566" s="1" t="s">
        <v>57</v>
      </c>
      <c r="C566" s="1" t="s">
        <v>3761</v>
      </c>
      <c r="E566" s="1">
        <v>56</v>
      </c>
      <c r="F566" s="1" t="s">
        <v>3849</v>
      </c>
      <c r="H566" s="1" t="s">
        <v>3850</v>
      </c>
      <c r="I566" s="1" t="s">
        <v>7</v>
      </c>
      <c r="J566" s="1" t="s">
        <v>3851</v>
      </c>
      <c r="K566" s="1" t="s">
        <v>3852</v>
      </c>
      <c r="L566" s="1" t="s">
        <v>3853</v>
      </c>
      <c r="Q566" s="1">
        <v>1976</v>
      </c>
      <c r="R566" s="1" t="s">
        <v>3767</v>
      </c>
      <c r="S566" s="1" t="s">
        <v>27</v>
      </c>
      <c r="T566" s="6">
        <v>1</v>
      </c>
      <c r="U566" s="1">
        <v>77.2</v>
      </c>
      <c r="X566" s="1">
        <v>0.8</v>
      </c>
    </row>
    <row r="567" spans="1:24" x14ac:dyDescent="0.2">
      <c r="A567" s="1" t="s">
        <v>3854</v>
      </c>
      <c r="B567" s="1" t="s">
        <v>57</v>
      </c>
      <c r="C567" s="1" t="s">
        <v>3761</v>
      </c>
      <c r="E567" s="1">
        <v>56</v>
      </c>
      <c r="F567" s="1" t="s">
        <v>3849</v>
      </c>
      <c r="H567" s="1" t="s">
        <v>3855</v>
      </c>
      <c r="I567" s="1" t="s">
        <v>7</v>
      </c>
      <c r="J567" s="1" t="s">
        <v>3851</v>
      </c>
      <c r="L567" s="1" t="s">
        <v>3853</v>
      </c>
      <c r="Q567" s="1">
        <v>1976</v>
      </c>
      <c r="R567" s="1" t="s">
        <v>3767</v>
      </c>
      <c r="S567" s="1" t="s">
        <v>27</v>
      </c>
      <c r="T567" s="6">
        <v>1</v>
      </c>
      <c r="U567" s="1">
        <v>78.8</v>
      </c>
      <c r="X567" s="1">
        <v>3.2</v>
      </c>
    </row>
    <row r="568" spans="1:24" x14ac:dyDescent="0.2">
      <c r="A568" s="1" t="s">
        <v>3856</v>
      </c>
      <c r="B568" s="1" t="s">
        <v>55</v>
      </c>
      <c r="C568" s="1" t="s">
        <v>3857</v>
      </c>
      <c r="E568" s="1">
        <v>31</v>
      </c>
      <c r="F568" s="1" t="s">
        <v>3858</v>
      </c>
      <c r="H568" s="1" t="s">
        <v>3859</v>
      </c>
      <c r="I568" s="1" t="s">
        <v>7</v>
      </c>
      <c r="J568" s="1" t="s">
        <v>3860</v>
      </c>
      <c r="K568" s="1" t="s">
        <v>3861</v>
      </c>
      <c r="L568" s="1" t="s">
        <v>3860</v>
      </c>
      <c r="Q568" s="1">
        <v>1976</v>
      </c>
      <c r="R568" s="1" t="s">
        <v>3767</v>
      </c>
      <c r="S568" s="1" t="s">
        <v>27</v>
      </c>
      <c r="T568" s="6">
        <v>1</v>
      </c>
      <c r="U568" s="1">
        <v>78.3</v>
      </c>
      <c r="X568" s="1">
        <v>0.79</v>
      </c>
    </row>
    <row r="569" spans="1:24" x14ac:dyDescent="0.2">
      <c r="A569" s="1" t="s">
        <v>3862</v>
      </c>
      <c r="B569" s="1" t="s">
        <v>55</v>
      </c>
      <c r="C569" s="1" t="s">
        <v>3863</v>
      </c>
      <c r="E569" s="1">
        <v>35</v>
      </c>
      <c r="F569" s="1" t="s">
        <v>3864</v>
      </c>
      <c r="H569" s="1" t="s">
        <v>3865</v>
      </c>
      <c r="I569" s="1" t="s">
        <v>7</v>
      </c>
      <c r="J569" s="1" t="s">
        <v>3866</v>
      </c>
      <c r="K569" s="1" t="s">
        <v>1971</v>
      </c>
      <c r="L569" s="1" t="s">
        <v>3867</v>
      </c>
      <c r="Q569" s="1">
        <v>1976</v>
      </c>
      <c r="R569" s="1" t="s">
        <v>3767</v>
      </c>
      <c r="S569" s="1" t="s">
        <v>27</v>
      </c>
      <c r="T569" s="6">
        <v>1</v>
      </c>
      <c r="U569" s="1">
        <v>70.7</v>
      </c>
      <c r="X569" s="1">
        <v>12.5</v>
      </c>
    </row>
    <row r="570" spans="1:24" x14ac:dyDescent="0.2">
      <c r="A570" s="1" t="s">
        <v>3868</v>
      </c>
      <c r="B570" s="1" t="s">
        <v>55</v>
      </c>
      <c r="C570" s="1" t="s">
        <v>3869</v>
      </c>
      <c r="E570" s="1">
        <v>35</v>
      </c>
      <c r="F570" s="1" t="s">
        <v>1968</v>
      </c>
      <c r="H570" s="1" t="s">
        <v>3870</v>
      </c>
      <c r="I570" s="1" t="s">
        <v>7</v>
      </c>
      <c r="J570" s="1" t="s">
        <v>3866</v>
      </c>
      <c r="K570" s="1" t="s">
        <v>1971</v>
      </c>
      <c r="L570" s="1" t="s">
        <v>1970</v>
      </c>
      <c r="Q570" s="1">
        <v>1976</v>
      </c>
      <c r="R570" s="1" t="s">
        <v>3767</v>
      </c>
      <c r="S570" s="1" t="s">
        <v>27</v>
      </c>
      <c r="T570" s="6">
        <v>1</v>
      </c>
      <c r="U570" s="1">
        <v>70.8</v>
      </c>
      <c r="X570" s="1">
        <v>12.8</v>
      </c>
    </row>
    <row r="571" spans="1:24" x14ac:dyDescent="0.2">
      <c r="A571" s="1" t="s">
        <v>3871</v>
      </c>
      <c r="B571" s="1" t="s">
        <v>57</v>
      </c>
      <c r="C571" s="1" t="s">
        <v>3761</v>
      </c>
      <c r="E571" s="1">
        <v>57</v>
      </c>
      <c r="F571" s="1" t="s">
        <v>3872</v>
      </c>
      <c r="H571" s="1" t="s">
        <v>3873</v>
      </c>
      <c r="I571" s="1" t="s">
        <v>7</v>
      </c>
      <c r="J571" s="1" t="s">
        <v>3874</v>
      </c>
      <c r="K571" s="1" t="s">
        <v>3875</v>
      </c>
      <c r="L571" s="1" t="s">
        <v>3876</v>
      </c>
      <c r="Q571" s="1">
        <v>1976</v>
      </c>
      <c r="R571" s="1" t="s">
        <v>3767</v>
      </c>
      <c r="S571" s="1" t="s">
        <v>27</v>
      </c>
      <c r="T571" s="6">
        <v>1</v>
      </c>
      <c r="U571" s="1">
        <v>84.9</v>
      </c>
      <c r="X571" s="1">
        <v>0.83</v>
      </c>
    </row>
    <row r="572" spans="1:24" x14ac:dyDescent="0.2">
      <c r="A572" s="1" t="s">
        <v>3877</v>
      </c>
      <c r="B572" s="1" t="s">
        <v>57</v>
      </c>
      <c r="C572" s="1" t="s">
        <v>3878</v>
      </c>
      <c r="E572" s="1">
        <v>53</v>
      </c>
      <c r="F572" s="1" t="s">
        <v>3879</v>
      </c>
      <c r="H572" s="1" t="s">
        <v>3880</v>
      </c>
      <c r="I572" s="1" t="s">
        <v>7</v>
      </c>
      <c r="J572" s="1" t="s">
        <v>3881</v>
      </c>
      <c r="K572" s="1" t="s">
        <v>3882</v>
      </c>
      <c r="L572" s="1" t="s">
        <v>3881</v>
      </c>
      <c r="Q572" s="1">
        <v>1976</v>
      </c>
      <c r="R572" s="1" t="s">
        <v>3767</v>
      </c>
      <c r="S572" s="1" t="s">
        <v>27</v>
      </c>
      <c r="T572" s="6">
        <v>1</v>
      </c>
      <c r="U572" s="1">
        <v>80.5</v>
      </c>
      <c r="X572" s="1">
        <v>1.26</v>
      </c>
    </row>
    <row r="573" spans="1:24" x14ac:dyDescent="0.2">
      <c r="A573" s="1" t="s">
        <v>3883</v>
      </c>
      <c r="B573" s="1" t="s">
        <v>57</v>
      </c>
      <c r="C573" s="1" t="s">
        <v>3761</v>
      </c>
      <c r="E573" s="1">
        <v>53</v>
      </c>
      <c r="F573" s="1" t="s">
        <v>3884</v>
      </c>
      <c r="H573" s="1" t="s">
        <v>3885</v>
      </c>
      <c r="I573" s="1" t="s">
        <v>7</v>
      </c>
      <c r="J573" s="1" t="s">
        <v>3886</v>
      </c>
      <c r="K573" s="1" t="s">
        <v>3887</v>
      </c>
      <c r="L573" s="1" t="s">
        <v>3886</v>
      </c>
      <c r="Q573" s="1">
        <v>1976</v>
      </c>
      <c r="R573" s="1" t="s">
        <v>3767</v>
      </c>
      <c r="S573" s="1" t="s">
        <v>27</v>
      </c>
      <c r="T573" s="6">
        <v>1</v>
      </c>
      <c r="U573" s="1">
        <v>86.3</v>
      </c>
      <c r="X573" s="1">
        <v>0.5</v>
      </c>
    </row>
    <row r="574" spans="1:24" x14ac:dyDescent="0.2">
      <c r="A574" s="1" t="s">
        <v>3888</v>
      </c>
      <c r="B574" s="1" t="s">
        <v>55</v>
      </c>
      <c r="C574" s="1" t="s">
        <v>3889</v>
      </c>
      <c r="E574" s="1">
        <v>32</v>
      </c>
      <c r="F574" s="1" t="s">
        <v>3890</v>
      </c>
      <c r="H574" s="1" t="s">
        <v>3891</v>
      </c>
      <c r="I574" s="1" t="s">
        <v>7</v>
      </c>
      <c r="J574" s="1" t="s">
        <v>3892</v>
      </c>
      <c r="K574" s="1" t="s">
        <v>3893</v>
      </c>
      <c r="L574" s="1" t="s">
        <v>3892</v>
      </c>
      <c r="Q574" s="1">
        <v>1976</v>
      </c>
      <c r="R574" s="1" t="s">
        <v>3767</v>
      </c>
      <c r="S574" s="1" t="s">
        <v>27</v>
      </c>
      <c r="T574" s="6">
        <v>1</v>
      </c>
      <c r="U574" s="1">
        <v>81.5</v>
      </c>
      <c r="X574" s="1">
        <v>0.98</v>
      </c>
    </row>
    <row r="575" spans="1:24" x14ac:dyDescent="0.2">
      <c r="A575" s="1" t="s">
        <v>3894</v>
      </c>
      <c r="B575" s="1" t="s">
        <v>55</v>
      </c>
      <c r="C575" s="1" t="s">
        <v>3761</v>
      </c>
      <c r="E575" s="1">
        <v>38</v>
      </c>
      <c r="F575" s="1" t="s">
        <v>3895</v>
      </c>
      <c r="H575" s="1" t="s">
        <v>3896</v>
      </c>
      <c r="I575" s="1" t="s">
        <v>7</v>
      </c>
      <c r="J575" s="1" t="s">
        <v>3897</v>
      </c>
      <c r="K575" s="1" t="s">
        <v>3898</v>
      </c>
      <c r="L575" s="1" t="s">
        <v>3897</v>
      </c>
      <c r="Q575" s="1">
        <v>1976</v>
      </c>
      <c r="R575" s="1" t="s">
        <v>3767</v>
      </c>
      <c r="S575" s="1" t="s">
        <v>27</v>
      </c>
      <c r="T575" s="6">
        <v>1</v>
      </c>
      <c r="U575" s="1">
        <v>75.3</v>
      </c>
      <c r="X575" s="1">
        <v>10.7</v>
      </c>
    </row>
    <row r="576" spans="1:24" x14ac:dyDescent="0.2">
      <c r="A576" s="1" t="s">
        <v>3899</v>
      </c>
      <c r="B576" s="1" t="s">
        <v>55</v>
      </c>
      <c r="C576" s="1" t="s">
        <v>3761</v>
      </c>
      <c r="E576" s="1">
        <v>34</v>
      </c>
      <c r="F576" s="1" t="s">
        <v>3900</v>
      </c>
      <c r="H576" s="1" t="s">
        <v>3901</v>
      </c>
      <c r="I576" s="1" t="s">
        <v>7</v>
      </c>
      <c r="J576" s="1" t="s">
        <v>3902</v>
      </c>
      <c r="K576" s="1" t="s">
        <v>3903</v>
      </c>
      <c r="L576" s="1" t="s">
        <v>3902</v>
      </c>
      <c r="Q576" s="1">
        <v>1976</v>
      </c>
      <c r="R576" s="1" t="s">
        <v>3767</v>
      </c>
      <c r="S576" s="1" t="s">
        <v>27</v>
      </c>
      <c r="T576" s="6">
        <v>1</v>
      </c>
      <c r="U576" s="1">
        <v>81</v>
      </c>
      <c r="X576" s="1">
        <v>1.84</v>
      </c>
    </row>
    <row r="577" spans="1:24" x14ac:dyDescent="0.2">
      <c r="A577" s="1" t="s">
        <v>3904</v>
      </c>
      <c r="B577" s="1" t="s">
        <v>55</v>
      </c>
      <c r="C577" s="1" t="s">
        <v>3761</v>
      </c>
      <c r="E577" s="1">
        <v>34</v>
      </c>
      <c r="F577" s="1" t="s">
        <v>3905</v>
      </c>
      <c r="H577" s="1" t="s">
        <v>3906</v>
      </c>
      <c r="I577" s="1" t="s">
        <v>7</v>
      </c>
      <c r="J577" s="1" t="s">
        <v>3907</v>
      </c>
      <c r="K577" s="1" t="s">
        <v>3908</v>
      </c>
      <c r="L577" s="1" t="s">
        <v>3907</v>
      </c>
      <c r="Q577" s="1">
        <v>1976</v>
      </c>
      <c r="R577" s="1" t="s">
        <v>3767</v>
      </c>
      <c r="S577" s="1" t="s">
        <v>27</v>
      </c>
      <c r="T577" s="6">
        <v>1</v>
      </c>
      <c r="U577" s="1">
        <v>77.099999999999994</v>
      </c>
      <c r="X577" s="1">
        <v>2.19</v>
      </c>
    </row>
    <row r="578" spans="1:24" x14ac:dyDescent="0.2">
      <c r="A578" s="1" t="s">
        <v>3909</v>
      </c>
      <c r="B578" s="1" t="s">
        <v>55</v>
      </c>
      <c r="C578" s="1" t="s">
        <v>3761</v>
      </c>
      <c r="E578" s="1">
        <v>34</v>
      </c>
      <c r="F578" s="1" t="s">
        <v>3910</v>
      </c>
      <c r="H578" s="1" t="s">
        <v>3911</v>
      </c>
      <c r="I578" s="1" t="s">
        <v>7</v>
      </c>
      <c r="J578" s="1" t="s">
        <v>3912</v>
      </c>
      <c r="K578" s="1" t="s">
        <v>3913</v>
      </c>
      <c r="L578" s="1" t="s">
        <v>3912</v>
      </c>
      <c r="Q578" s="1">
        <v>1976</v>
      </c>
      <c r="R578" s="1" t="s">
        <v>3767</v>
      </c>
      <c r="S578" s="1" t="s">
        <v>27</v>
      </c>
      <c r="T578" s="6">
        <v>1</v>
      </c>
      <c r="U578" s="1">
        <v>79.599999999999994</v>
      </c>
      <c r="X578" s="1">
        <v>1.27</v>
      </c>
    </row>
    <row r="579" spans="1:24" x14ac:dyDescent="0.2">
      <c r="A579" s="1" t="s">
        <v>3914</v>
      </c>
      <c r="B579" s="1" t="s">
        <v>55</v>
      </c>
      <c r="C579" s="1" t="s">
        <v>3915</v>
      </c>
      <c r="E579" s="1">
        <v>34</v>
      </c>
      <c r="F579" s="1" t="s">
        <v>3916</v>
      </c>
      <c r="H579" s="1" t="s">
        <v>3917</v>
      </c>
      <c r="I579" s="1" t="s">
        <v>7</v>
      </c>
      <c r="J579" s="1" t="s">
        <v>3918</v>
      </c>
      <c r="K579" s="1" t="s">
        <v>3919</v>
      </c>
      <c r="L579" s="1" t="s">
        <v>3918</v>
      </c>
      <c r="Q579" s="1">
        <v>1976</v>
      </c>
      <c r="R579" s="1" t="s">
        <v>3767</v>
      </c>
      <c r="S579" s="1" t="s">
        <v>27</v>
      </c>
      <c r="T579" s="6">
        <v>1</v>
      </c>
      <c r="U579" s="1">
        <v>80</v>
      </c>
      <c r="X579" s="1">
        <v>1.04</v>
      </c>
    </row>
    <row r="580" spans="1:24" x14ac:dyDescent="0.2">
      <c r="A580" s="1" t="s">
        <v>3920</v>
      </c>
      <c r="B580" s="1" t="s">
        <v>55</v>
      </c>
      <c r="C580" s="1" t="s">
        <v>3921</v>
      </c>
      <c r="E580" s="1">
        <v>34</v>
      </c>
      <c r="F580" s="1" t="s">
        <v>3922</v>
      </c>
      <c r="H580" s="1" t="s">
        <v>3923</v>
      </c>
      <c r="I580" s="1" t="s">
        <v>7</v>
      </c>
      <c r="J580" s="1" t="s">
        <v>3924</v>
      </c>
      <c r="K580" s="1" t="s">
        <v>3925</v>
      </c>
      <c r="L580" s="1" t="s">
        <v>3924</v>
      </c>
      <c r="Q580" s="1">
        <v>1976</v>
      </c>
      <c r="R580" s="1" t="s">
        <v>3767</v>
      </c>
      <c r="S580" s="1" t="s">
        <v>27</v>
      </c>
      <c r="T580" s="6">
        <v>1</v>
      </c>
      <c r="U580" s="1">
        <v>76.5</v>
      </c>
      <c r="X580" s="1">
        <v>2.35</v>
      </c>
    </row>
    <row r="581" spans="1:24" x14ac:dyDescent="0.2">
      <c r="A581" s="1" t="s">
        <v>3926</v>
      </c>
      <c r="B581" s="1" t="s">
        <v>55</v>
      </c>
      <c r="C581" s="1" t="s">
        <v>3915</v>
      </c>
      <c r="E581" s="1">
        <v>34</v>
      </c>
      <c r="F581" s="1" t="s">
        <v>3927</v>
      </c>
      <c r="H581" s="1" t="s">
        <v>3928</v>
      </c>
      <c r="I581" s="1" t="s">
        <v>7</v>
      </c>
      <c r="J581" s="1" t="s">
        <v>3929</v>
      </c>
      <c r="K581" s="1" t="s">
        <v>3930</v>
      </c>
      <c r="L581" s="1" t="s">
        <v>3931</v>
      </c>
      <c r="Q581" s="1">
        <v>1976</v>
      </c>
      <c r="R581" s="1" t="s">
        <v>3767</v>
      </c>
      <c r="S581" s="1" t="s">
        <v>27</v>
      </c>
      <c r="T581" s="6">
        <v>1</v>
      </c>
      <c r="U581" s="1">
        <v>78.900000000000006</v>
      </c>
      <c r="X581" s="1">
        <v>1.78</v>
      </c>
    </row>
    <row r="582" spans="1:24" x14ac:dyDescent="0.2">
      <c r="A582" s="1" t="s">
        <v>3932</v>
      </c>
      <c r="B582" s="1" t="s">
        <v>55</v>
      </c>
      <c r="C582" s="1" t="s">
        <v>3791</v>
      </c>
      <c r="E582" s="1">
        <v>34</v>
      </c>
      <c r="F582" s="1" t="s">
        <v>3933</v>
      </c>
      <c r="H582" s="1" t="s">
        <v>3934</v>
      </c>
      <c r="I582" s="1" t="s">
        <v>7</v>
      </c>
      <c r="J582" s="1" t="s">
        <v>3935</v>
      </c>
      <c r="K582" s="1" t="s">
        <v>3936</v>
      </c>
      <c r="L582" s="1" t="s">
        <v>3935</v>
      </c>
      <c r="Q582" s="1">
        <v>1976</v>
      </c>
      <c r="R582" s="1" t="s">
        <v>3767</v>
      </c>
      <c r="S582" s="1" t="s">
        <v>27</v>
      </c>
      <c r="T582" s="6">
        <v>1</v>
      </c>
      <c r="U582" s="1">
        <v>78.5</v>
      </c>
      <c r="X582" s="1">
        <v>0.73</v>
      </c>
    </row>
    <row r="583" spans="1:24" x14ac:dyDescent="0.2">
      <c r="A583" s="1" t="s">
        <v>3937</v>
      </c>
      <c r="B583" s="1" t="s">
        <v>55</v>
      </c>
      <c r="C583" s="1" t="s">
        <v>3791</v>
      </c>
      <c r="E583" s="1">
        <v>34</v>
      </c>
      <c r="F583" s="1" t="s">
        <v>3927</v>
      </c>
      <c r="H583" s="1" t="s">
        <v>3938</v>
      </c>
      <c r="I583" s="1" t="s">
        <v>7</v>
      </c>
      <c r="J583" s="1" t="s">
        <v>3939</v>
      </c>
      <c r="K583" s="1" t="s">
        <v>3930</v>
      </c>
      <c r="L583" s="1" t="s">
        <v>3931</v>
      </c>
      <c r="Q583" s="1">
        <v>1976</v>
      </c>
      <c r="R583" s="1" t="s">
        <v>3767</v>
      </c>
      <c r="S583" s="1" t="s">
        <v>27</v>
      </c>
      <c r="T583" s="6">
        <v>1</v>
      </c>
      <c r="U583" s="1">
        <v>80.7</v>
      </c>
      <c r="X583" s="1">
        <v>1.67</v>
      </c>
    </row>
    <row r="584" spans="1:24" x14ac:dyDescent="0.2">
      <c r="A584" s="1" t="s">
        <v>3940</v>
      </c>
      <c r="B584" s="1" t="s">
        <v>55</v>
      </c>
      <c r="C584" s="1" t="s">
        <v>3837</v>
      </c>
      <c r="E584" s="1">
        <v>34</v>
      </c>
      <c r="F584" s="1" t="s">
        <v>3941</v>
      </c>
      <c r="H584" s="1" t="s">
        <v>3942</v>
      </c>
      <c r="I584" s="1" t="s">
        <v>7</v>
      </c>
      <c r="J584" s="1" t="s">
        <v>3943</v>
      </c>
      <c r="K584" s="1" t="s">
        <v>3944</v>
      </c>
      <c r="L584" s="1" t="s">
        <v>3945</v>
      </c>
      <c r="Q584" s="1">
        <v>1976</v>
      </c>
      <c r="R584" s="1" t="s">
        <v>3767</v>
      </c>
      <c r="S584" s="1" t="s">
        <v>27</v>
      </c>
      <c r="T584" s="6">
        <v>1</v>
      </c>
      <c r="U584" s="1">
        <v>79.599999999999994</v>
      </c>
      <c r="X584" s="1">
        <v>1.39</v>
      </c>
    </row>
    <row r="585" spans="1:24" x14ac:dyDescent="0.2">
      <c r="A585" s="1" t="s">
        <v>3946</v>
      </c>
      <c r="B585" s="1" t="s">
        <v>55</v>
      </c>
      <c r="C585" s="1" t="s">
        <v>3947</v>
      </c>
      <c r="E585" s="1">
        <v>34</v>
      </c>
      <c r="F585" s="1" t="s">
        <v>3948</v>
      </c>
      <c r="H585" s="1" t="s">
        <v>3949</v>
      </c>
      <c r="I585" s="1" t="s">
        <v>7</v>
      </c>
      <c r="J585" s="1" t="s">
        <v>3950</v>
      </c>
      <c r="K585" s="1" t="s">
        <v>3951</v>
      </c>
      <c r="L585" s="1" t="s">
        <v>3950</v>
      </c>
      <c r="Q585" s="1">
        <v>1976</v>
      </c>
      <c r="R585" s="1" t="s">
        <v>3767</v>
      </c>
      <c r="S585" s="1" t="s">
        <v>27</v>
      </c>
      <c r="T585" s="6">
        <v>1</v>
      </c>
      <c r="U585" s="1">
        <v>79.2</v>
      </c>
      <c r="X585" s="1">
        <v>1.43</v>
      </c>
    </row>
    <row r="586" spans="1:24" x14ac:dyDescent="0.2">
      <c r="A586" s="1" t="s">
        <v>3952</v>
      </c>
      <c r="B586" s="1" t="s">
        <v>55</v>
      </c>
      <c r="C586" s="1" t="s">
        <v>3953</v>
      </c>
      <c r="E586" s="1">
        <v>34</v>
      </c>
      <c r="F586" s="1" t="s">
        <v>3954</v>
      </c>
      <c r="H586" s="1" t="s">
        <v>3955</v>
      </c>
      <c r="I586" s="1" t="s">
        <v>7</v>
      </c>
      <c r="J586" s="1" t="s">
        <v>3956</v>
      </c>
      <c r="K586" s="1" t="s">
        <v>3957</v>
      </c>
      <c r="L586" s="1" t="s">
        <v>3956</v>
      </c>
      <c r="Q586" s="1">
        <v>1976</v>
      </c>
      <c r="R586" s="1" t="s">
        <v>3767</v>
      </c>
      <c r="S586" s="1" t="s">
        <v>27</v>
      </c>
      <c r="T586" s="6">
        <v>1</v>
      </c>
      <c r="U586" s="1">
        <v>81.400000000000006</v>
      </c>
      <c r="X586" s="1">
        <v>0.2</v>
      </c>
    </row>
    <row r="587" spans="1:24" x14ac:dyDescent="0.2">
      <c r="A587" s="1" t="s">
        <v>3958</v>
      </c>
      <c r="B587" s="1" t="s">
        <v>55</v>
      </c>
      <c r="C587" s="1" t="s">
        <v>3915</v>
      </c>
      <c r="E587" s="1">
        <v>34</v>
      </c>
      <c r="F587" s="1" t="s">
        <v>3959</v>
      </c>
      <c r="H587" s="1" t="s">
        <v>3960</v>
      </c>
      <c r="I587" s="1" t="s">
        <v>7</v>
      </c>
      <c r="J587" s="1" t="s">
        <v>3961</v>
      </c>
      <c r="K587" s="1" t="s">
        <v>3962</v>
      </c>
      <c r="L587" s="1" t="s">
        <v>3961</v>
      </c>
      <c r="Q587" s="1">
        <v>1976</v>
      </c>
      <c r="R587" s="1" t="s">
        <v>3767</v>
      </c>
      <c r="S587" s="1" t="s">
        <v>27</v>
      </c>
      <c r="T587" s="6">
        <v>1</v>
      </c>
      <c r="U587" s="1">
        <v>79.099999999999994</v>
      </c>
      <c r="X587" s="1">
        <v>0.84</v>
      </c>
    </row>
    <row r="588" spans="1:24" x14ac:dyDescent="0.2">
      <c r="A588" s="1" t="s">
        <v>3963</v>
      </c>
      <c r="B588" s="1" t="s">
        <v>55</v>
      </c>
      <c r="C588" s="1" t="s">
        <v>3791</v>
      </c>
      <c r="E588" s="1">
        <v>34</v>
      </c>
      <c r="F588" s="1" t="s">
        <v>3964</v>
      </c>
      <c r="H588" s="1" t="s">
        <v>3965</v>
      </c>
      <c r="I588" s="1" t="s">
        <v>7</v>
      </c>
      <c r="J588" s="1" t="s">
        <v>3966</v>
      </c>
      <c r="K588" s="1" t="s">
        <v>3967</v>
      </c>
      <c r="L588" s="1" t="s">
        <v>3966</v>
      </c>
      <c r="Q588" s="1">
        <v>1976</v>
      </c>
      <c r="R588" s="1" t="s">
        <v>3767</v>
      </c>
      <c r="S588" s="1" t="s">
        <v>27</v>
      </c>
      <c r="T588" s="6">
        <v>1</v>
      </c>
      <c r="U588" s="1">
        <v>79.3</v>
      </c>
      <c r="X588" s="1">
        <v>1.56</v>
      </c>
    </row>
    <row r="589" spans="1:24" x14ac:dyDescent="0.2">
      <c r="A589" s="1" t="s">
        <v>3968</v>
      </c>
      <c r="B589" s="1" t="s">
        <v>55</v>
      </c>
      <c r="C589" s="1" t="s">
        <v>3761</v>
      </c>
      <c r="E589" s="1">
        <v>34</v>
      </c>
      <c r="F589" s="1" t="s">
        <v>3969</v>
      </c>
      <c r="H589" s="1" t="s">
        <v>3970</v>
      </c>
      <c r="I589" s="1" t="s">
        <v>7</v>
      </c>
      <c r="J589" s="1" t="s">
        <v>3971</v>
      </c>
      <c r="K589" s="1" t="s">
        <v>3972</v>
      </c>
      <c r="L589" s="1" t="s">
        <v>3971</v>
      </c>
      <c r="Q589" s="1">
        <v>1976</v>
      </c>
      <c r="R589" s="1" t="s">
        <v>3767</v>
      </c>
      <c r="S589" s="1" t="s">
        <v>27</v>
      </c>
      <c r="T589" s="6">
        <v>1</v>
      </c>
      <c r="U589" s="1">
        <v>78.7</v>
      </c>
      <c r="X589" s="1">
        <v>1.6</v>
      </c>
    </row>
    <row r="590" spans="1:24" x14ac:dyDescent="0.2">
      <c r="A590" s="1" t="s">
        <v>3973</v>
      </c>
      <c r="B590" s="1" t="s">
        <v>55</v>
      </c>
      <c r="C590" s="1" t="s">
        <v>3837</v>
      </c>
      <c r="E590" s="1">
        <v>34</v>
      </c>
      <c r="F590" s="1" t="s">
        <v>3974</v>
      </c>
      <c r="H590" s="1" t="s">
        <v>3975</v>
      </c>
      <c r="I590" s="1" t="s">
        <v>7</v>
      </c>
      <c r="J590" s="1" t="s">
        <v>3976</v>
      </c>
      <c r="K590" s="1" t="s">
        <v>3977</v>
      </c>
      <c r="L590" s="1" t="s">
        <v>3976</v>
      </c>
      <c r="Q590" s="1">
        <v>1976</v>
      </c>
      <c r="R590" s="1" t="s">
        <v>3767</v>
      </c>
      <c r="S590" s="1" t="s">
        <v>27</v>
      </c>
      <c r="T590" s="6">
        <v>1</v>
      </c>
      <c r="U590" s="1">
        <v>70.7</v>
      </c>
      <c r="X590" s="1">
        <v>15.1</v>
      </c>
    </row>
    <row r="591" spans="1:24" x14ac:dyDescent="0.2">
      <c r="A591" s="1" t="s">
        <v>3978</v>
      </c>
      <c r="B591" s="1" t="s">
        <v>55</v>
      </c>
      <c r="C591" s="1" t="s">
        <v>3979</v>
      </c>
      <c r="E591" s="1">
        <v>23</v>
      </c>
      <c r="F591" s="1" t="s">
        <v>3980</v>
      </c>
      <c r="H591" s="1" t="s">
        <v>3981</v>
      </c>
      <c r="I591" s="1" t="s">
        <v>7</v>
      </c>
      <c r="J591" s="1" t="s">
        <v>3982</v>
      </c>
      <c r="K591" s="1" t="s">
        <v>3983</v>
      </c>
      <c r="L591" s="1" t="s">
        <v>3982</v>
      </c>
      <c r="Q591" s="1">
        <v>1976</v>
      </c>
      <c r="R591" s="1" t="s">
        <v>3767</v>
      </c>
      <c r="S591" s="1" t="s">
        <v>27</v>
      </c>
      <c r="T591" s="6">
        <v>1</v>
      </c>
      <c r="U591" s="1">
        <v>74.099999999999994</v>
      </c>
      <c r="X591" s="1">
        <v>3.86</v>
      </c>
    </row>
    <row r="592" spans="1:24" x14ac:dyDescent="0.2">
      <c r="A592" s="1" t="s">
        <v>3984</v>
      </c>
      <c r="B592" s="1" t="s">
        <v>55</v>
      </c>
      <c r="C592" s="1" t="s">
        <v>3857</v>
      </c>
      <c r="E592" s="1">
        <v>23</v>
      </c>
      <c r="F592" s="1" t="s">
        <v>1711</v>
      </c>
      <c r="H592" s="1" t="s">
        <v>3985</v>
      </c>
      <c r="I592" s="1" t="s">
        <v>7</v>
      </c>
      <c r="J592" s="1" t="s">
        <v>1713</v>
      </c>
      <c r="K592" s="1" t="s">
        <v>3986</v>
      </c>
      <c r="L592" s="1" t="s">
        <v>1713</v>
      </c>
      <c r="Q592" s="1">
        <v>1976</v>
      </c>
      <c r="R592" s="1" t="s">
        <v>3767</v>
      </c>
      <c r="S592" s="1" t="s">
        <v>27</v>
      </c>
      <c r="T592" s="6">
        <v>1</v>
      </c>
      <c r="U592" s="1">
        <v>73.099999999999994</v>
      </c>
      <c r="X592" s="1">
        <v>11.5</v>
      </c>
    </row>
    <row r="593" spans="1:24" x14ac:dyDescent="0.2">
      <c r="A593" s="1" t="s">
        <v>3987</v>
      </c>
      <c r="B593" s="1" t="s">
        <v>55</v>
      </c>
      <c r="C593" s="1" t="s">
        <v>3953</v>
      </c>
      <c r="E593" s="1">
        <v>23</v>
      </c>
      <c r="F593" s="1" t="s">
        <v>3988</v>
      </c>
      <c r="H593" s="1" t="s">
        <v>3989</v>
      </c>
      <c r="I593" s="1" t="s">
        <v>7</v>
      </c>
      <c r="J593" s="1" t="s">
        <v>3990</v>
      </c>
      <c r="K593" s="1" t="s">
        <v>3991</v>
      </c>
      <c r="L593" s="1" t="s">
        <v>3990</v>
      </c>
      <c r="Q593" s="1">
        <v>1976</v>
      </c>
      <c r="R593" s="1" t="s">
        <v>3767</v>
      </c>
      <c r="S593" s="1" t="s">
        <v>27</v>
      </c>
      <c r="T593" s="6">
        <v>1</v>
      </c>
      <c r="U593" s="1">
        <v>75.599999999999994</v>
      </c>
      <c r="X593" s="1">
        <v>4.76</v>
      </c>
    </row>
    <row r="594" spans="1:24" x14ac:dyDescent="0.2">
      <c r="A594" s="1" t="s">
        <v>3992</v>
      </c>
      <c r="B594" s="1" t="s">
        <v>55</v>
      </c>
      <c r="C594" s="1" t="s">
        <v>3993</v>
      </c>
      <c r="E594" s="1">
        <v>23</v>
      </c>
      <c r="F594" s="1" t="s">
        <v>2834</v>
      </c>
      <c r="H594" s="1" t="s">
        <v>3994</v>
      </c>
      <c r="I594" s="1" t="s">
        <v>7</v>
      </c>
      <c r="J594" s="1" t="s">
        <v>2836</v>
      </c>
      <c r="K594" s="1" t="s">
        <v>2837</v>
      </c>
      <c r="L594" s="1" t="s">
        <v>2836</v>
      </c>
      <c r="Q594" s="1">
        <v>1976</v>
      </c>
      <c r="R594" s="1" t="s">
        <v>3767</v>
      </c>
      <c r="S594" s="1" t="s">
        <v>27</v>
      </c>
      <c r="T594" s="6">
        <v>1</v>
      </c>
      <c r="U594" s="1">
        <v>72.599999999999994</v>
      </c>
      <c r="X594" s="1">
        <v>5.31</v>
      </c>
    </row>
    <row r="595" spans="1:24" x14ac:dyDescent="0.2">
      <c r="A595" s="1" t="s">
        <v>3995</v>
      </c>
      <c r="B595" s="1" t="s">
        <v>55</v>
      </c>
      <c r="C595" s="1" t="s">
        <v>3996</v>
      </c>
      <c r="E595" s="1">
        <v>23</v>
      </c>
      <c r="F595" s="1" t="s">
        <v>3997</v>
      </c>
      <c r="H595" s="1" t="s">
        <v>3998</v>
      </c>
      <c r="I595" s="1" t="s">
        <v>7</v>
      </c>
      <c r="J595" s="1" t="s">
        <v>3999</v>
      </c>
      <c r="K595" s="1" t="s">
        <v>4000</v>
      </c>
      <c r="L595" s="1" t="s">
        <v>3999</v>
      </c>
      <c r="Q595" s="1">
        <v>1976</v>
      </c>
      <c r="R595" s="1" t="s">
        <v>3767</v>
      </c>
      <c r="S595" s="1" t="s">
        <v>27</v>
      </c>
      <c r="T595" s="6">
        <v>1</v>
      </c>
      <c r="U595" s="1">
        <v>70</v>
      </c>
      <c r="X595" s="1">
        <v>8.5500000000000007</v>
      </c>
    </row>
    <row r="596" spans="1:24" x14ac:dyDescent="0.2">
      <c r="A596" s="1" t="s">
        <v>4001</v>
      </c>
      <c r="B596" s="1" t="s">
        <v>55</v>
      </c>
      <c r="C596" s="1" t="s">
        <v>3857</v>
      </c>
      <c r="E596" s="1">
        <v>24</v>
      </c>
      <c r="F596" s="1" t="s">
        <v>4002</v>
      </c>
      <c r="H596" s="1" t="s">
        <v>4003</v>
      </c>
      <c r="I596" s="1" t="s">
        <v>7</v>
      </c>
      <c r="J596" s="1" t="s">
        <v>4004</v>
      </c>
      <c r="K596" s="1" t="s">
        <v>4005</v>
      </c>
      <c r="L596" s="1" t="s">
        <v>4004</v>
      </c>
      <c r="Q596" s="1">
        <v>1976</v>
      </c>
      <c r="R596" s="1" t="s">
        <v>3767</v>
      </c>
      <c r="S596" s="1" t="s">
        <v>27</v>
      </c>
      <c r="T596" s="6">
        <v>1</v>
      </c>
      <c r="U596" s="1">
        <v>71.400000000000006</v>
      </c>
      <c r="X596" s="1">
        <v>7.9</v>
      </c>
    </row>
    <row r="597" spans="1:24" x14ac:dyDescent="0.2">
      <c r="A597" s="1" t="s">
        <v>4006</v>
      </c>
      <c r="B597" s="1" t="s">
        <v>1912</v>
      </c>
      <c r="C597" s="1" t="s">
        <v>3953</v>
      </c>
      <c r="E597" s="1">
        <v>45</v>
      </c>
      <c r="F597" s="1" t="s">
        <v>4007</v>
      </c>
      <c r="H597" s="1" t="s">
        <v>4008</v>
      </c>
      <c r="I597" s="1" t="s">
        <v>7</v>
      </c>
      <c r="J597" s="1" t="s">
        <v>4009</v>
      </c>
      <c r="K597" s="1" t="s">
        <v>4010</v>
      </c>
      <c r="L597" s="1" t="s">
        <v>4009</v>
      </c>
      <c r="Q597" s="1">
        <v>1976</v>
      </c>
      <c r="R597" s="1" t="s">
        <v>3767</v>
      </c>
      <c r="S597" s="1" t="s">
        <v>27</v>
      </c>
      <c r="T597" s="6">
        <v>1</v>
      </c>
      <c r="U597" s="1">
        <v>80.099999999999994</v>
      </c>
      <c r="X597" s="1">
        <v>0.95</v>
      </c>
    </row>
    <row r="598" spans="1:24" x14ac:dyDescent="0.2">
      <c r="A598" s="1" t="s">
        <v>4011</v>
      </c>
      <c r="B598" s="1" t="s">
        <v>55</v>
      </c>
      <c r="C598" s="1" t="s">
        <v>1030</v>
      </c>
      <c r="E598" s="1">
        <v>38</v>
      </c>
      <c r="F598" s="1" t="s">
        <v>1877</v>
      </c>
      <c r="H598" s="1" t="s">
        <v>4012</v>
      </c>
      <c r="I598" s="1" t="s">
        <v>7</v>
      </c>
      <c r="J598" s="1" t="s">
        <v>4013</v>
      </c>
      <c r="K598" s="1" t="s">
        <v>1880</v>
      </c>
      <c r="L598" s="1" t="s">
        <v>1881</v>
      </c>
      <c r="Q598" s="1">
        <v>1976</v>
      </c>
      <c r="R598" s="1" t="s">
        <v>3767</v>
      </c>
      <c r="S598" s="1" t="s">
        <v>27</v>
      </c>
      <c r="T598" s="6">
        <v>1</v>
      </c>
      <c r="U598" s="1">
        <v>81.8</v>
      </c>
      <c r="X598" s="1">
        <v>6.05</v>
      </c>
    </row>
    <row r="599" spans="1:24" x14ac:dyDescent="0.2">
      <c r="A599" s="1" t="s">
        <v>4014</v>
      </c>
      <c r="B599" s="1" t="s">
        <v>55</v>
      </c>
      <c r="C599" s="1" t="s">
        <v>3797</v>
      </c>
      <c r="E599" s="1">
        <v>31</v>
      </c>
      <c r="F599" s="1" t="s">
        <v>4015</v>
      </c>
      <c r="H599" s="1" t="s">
        <v>4016</v>
      </c>
      <c r="I599" s="1" t="s">
        <v>7</v>
      </c>
      <c r="J599" s="1" t="s">
        <v>4017</v>
      </c>
      <c r="K599" s="1" t="s">
        <v>4018</v>
      </c>
      <c r="L599" s="1" t="s">
        <v>4017</v>
      </c>
      <c r="Q599" s="1">
        <v>1976</v>
      </c>
      <c r="R599" s="1" t="s">
        <v>3767</v>
      </c>
      <c r="S599" s="1" t="s">
        <v>27</v>
      </c>
      <c r="T599" s="6">
        <v>1</v>
      </c>
      <c r="U599" s="1">
        <v>85.4</v>
      </c>
      <c r="X599" s="1">
        <v>0.95</v>
      </c>
    </row>
    <row r="600" spans="1:24" x14ac:dyDescent="0.2">
      <c r="A600" s="1" t="s">
        <v>4019</v>
      </c>
      <c r="B600" s="1" t="s">
        <v>55</v>
      </c>
      <c r="C600" s="1" t="s">
        <v>4020</v>
      </c>
      <c r="E600" s="1">
        <v>31</v>
      </c>
      <c r="F600" s="1" t="s">
        <v>4021</v>
      </c>
      <c r="H600" s="1" t="s">
        <v>4022</v>
      </c>
      <c r="I600" s="1" t="s">
        <v>7</v>
      </c>
      <c r="J600" s="1" t="s">
        <v>4023</v>
      </c>
      <c r="K600" s="1" t="s">
        <v>4024</v>
      </c>
      <c r="L600" s="1" t="s">
        <v>4025</v>
      </c>
      <c r="Q600" s="1">
        <v>1976</v>
      </c>
      <c r="R600" s="1" t="s">
        <v>3767</v>
      </c>
      <c r="S600" s="1" t="s">
        <v>27</v>
      </c>
      <c r="T600" s="6">
        <v>1</v>
      </c>
      <c r="U600" s="1">
        <v>81.400000000000006</v>
      </c>
      <c r="X600" s="1">
        <v>1.36</v>
      </c>
    </row>
    <row r="601" spans="1:24" x14ac:dyDescent="0.2">
      <c r="A601" s="1" t="s">
        <v>4026</v>
      </c>
      <c r="B601" s="1" t="s">
        <v>55</v>
      </c>
      <c r="C601" s="1" t="s">
        <v>4020</v>
      </c>
      <c r="E601" s="1">
        <v>31</v>
      </c>
      <c r="F601" s="1" t="s">
        <v>4027</v>
      </c>
      <c r="H601" s="1" t="s">
        <v>4028</v>
      </c>
      <c r="I601" s="1" t="s">
        <v>7</v>
      </c>
      <c r="J601" s="1" t="s">
        <v>4029</v>
      </c>
      <c r="K601" s="1" t="s">
        <v>4030</v>
      </c>
      <c r="L601" s="1" t="s">
        <v>4029</v>
      </c>
      <c r="Q601" s="1">
        <v>1976</v>
      </c>
      <c r="R601" s="1" t="s">
        <v>3767</v>
      </c>
      <c r="S601" s="1" t="s">
        <v>27</v>
      </c>
      <c r="T601" s="6">
        <v>1</v>
      </c>
      <c r="U601" s="1">
        <v>81</v>
      </c>
      <c r="X601" s="1">
        <v>1.1000000000000001</v>
      </c>
    </row>
    <row r="602" spans="1:24" x14ac:dyDescent="0.2">
      <c r="A602" s="1" t="s">
        <v>4031</v>
      </c>
      <c r="B602" s="1" t="s">
        <v>55</v>
      </c>
      <c r="C602" s="1" t="s">
        <v>4032</v>
      </c>
      <c r="E602" s="1">
        <v>31</v>
      </c>
      <c r="F602" s="1" t="s">
        <v>4033</v>
      </c>
      <c r="H602" s="1" t="s">
        <v>4034</v>
      </c>
      <c r="I602" s="1" t="s">
        <v>7</v>
      </c>
      <c r="J602" s="1" t="s">
        <v>4035</v>
      </c>
      <c r="K602" s="1" t="s">
        <v>4036</v>
      </c>
      <c r="L602" s="1" t="s">
        <v>4035</v>
      </c>
      <c r="Q602" s="1">
        <v>1976</v>
      </c>
      <c r="R602" s="1" t="s">
        <v>3767</v>
      </c>
      <c r="S602" s="1" t="s">
        <v>27</v>
      </c>
      <c r="T602" s="6">
        <v>1</v>
      </c>
      <c r="U602" s="1">
        <v>80</v>
      </c>
      <c r="X602" s="1">
        <v>0.8</v>
      </c>
    </row>
    <row r="603" spans="1:24" x14ac:dyDescent="0.2">
      <c r="A603" s="1" t="s">
        <v>4037</v>
      </c>
      <c r="B603" s="1" t="s">
        <v>55</v>
      </c>
      <c r="C603" s="1" t="s">
        <v>3791</v>
      </c>
      <c r="E603" s="1">
        <v>31</v>
      </c>
      <c r="F603" s="1" t="s">
        <v>4038</v>
      </c>
      <c r="H603" s="1" t="s">
        <v>4039</v>
      </c>
      <c r="I603" s="1" t="s">
        <v>7</v>
      </c>
      <c r="J603" s="1" t="s">
        <v>4040</v>
      </c>
      <c r="K603" s="1" t="s">
        <v>4041</v>
      </c>
      <c r="L603" s="1" t="s">
        <v>4042</v>
      </c>
      <c r="Q603" s="1">
        <v>1976</v>
      </c>
      <c r="R603" s="1" t="s">
        <v>3767</v>
      </c>
      <c r="S603" s="1" t="s">
        <v>27</v>
      </c>
      <c r="T603" s="6">
        <v>1</v>
      </c>
      <c r="U603" s="1">
        <v>82.3</v>
      </c>
      <c r="X603" s="1">
        <v>0.71</v>
      </c>
    </row>
    <row r="604" spans="1:24" x14ac:dyDescent="0.2">
      <c r="A604" s="1" t="s">
        <v>4043</v>
      </c>
      <c r="B604" s="1" t="s">
        <v>55</v>
      </c>
      <c r="C604" s="1" t="s">
        <v>4044</v>
      </c>
      <c r="E604" s="1">
        <v>31</v>
      </c>
      <c r="F604" s="1" t="s">
        <v>4045</v>
      </c>
      <c r="H604" s="1" t="s">
        <v>4046</v>
      </c>
      <c r="I604" s="1" t="s">
        <v>7</v>
      </c>
      <c r="J604" s="1" t="s">
        <v>4047</v>
      </c>
      <c r="K604" s="1" t="s">
        <v>4048</v>
      </c>
      <c r="L604" s="1" t="s">
        <v>4047</v>
      </c>
      <c r="Q604" s="1">
        <v>1976</v>
      </c>
      <c r="R604" s="1" t="s">
        <v>3767</v>
      </c>
      <c r="S604" s="1" t="s">
        <v>27</v>
      </c>
      <c r="T604" s="6">
        <v>1</v>
      </c>
      <c r="U604" s="1">
        <v>80.7</v>
      </c>
      <c r="X604" s="1">
        <v>0.77</v>
      </c>
    </row>
    <row r="605" spans="1:24" x14ac:dyDescent="0.2">
      <c r="A605" s="1" t="s">
        <v>4049</v>
      </c>
      <c r="B605" s="1" t="s">
        <v>55</v>
      </c>
      <c r="C605" s="1" t="s">
        <v>3979</v>
      </c>
      <c r="E605" s="1">
        <v>31</v>
      </c>
      <c r="F605" s="1" t="s">
        <v>4050</v>
      </c>
      <c r="H605" s="1" t="s">
        <v>4051</v>
      </c>
      <c r="I605" s="1" t="s">
        <v>7</v>
      </c>
      <c r="J605" s="1" t="s">
        <v>4052</v>
      </c>
      <c r="K605" s="1" t="s">
        <v>4053</v>
      </c>
      <c r="L605" s="1" t="s">
        <v>4052</v>
      </c>
      <c r="Q605" s="1">
        <v>1976</v>
      </c>
      <c r="R605" s="1" t="s">
        <v>3767</v>
      </c>
      <c r="S605" s="1" t="s">
        <v>27</v>
      </c>
      <c r="T605" s="6">
        <v>1</v>
      </c>
      <c r="U605" s="1">
        <v>83.4</v>
      </c>
      <c r="X605" s="1">
        <v>0.44</v>
      </c>
    </row>
    <row r="606" spans="1:24" x14ac:dyDescent="0.2">
      <c r="A606" s="1" t="s">
        <v>4054</v>
      </c>
      <c r="B606" s="1" t="s">
        <v>55</v>
      </c>
      <c r="C606" s="1" t="s">
        <v>4055</v>
      </c>
      <c r="E606" s="1">
        <v>31</v>
      </c>
      <c r="F606" s="1" t="s">
        <v>4056</v>
      </c>
      <c r="H606" s="1" t="s">
        <v>4057</v>
      </c>
      <c r="I606" s="1" t="s">
        <v>7</v>
      </c>
      <c r="J606" s="1" t="s">
        <v>4058</v>
      </c>
      <c r="K606" s="1" t="s">
        <v>4059</v>
      </c>
      <c r="L606" s="1" t="s">
        <v>4058</v>
      </c>
      <c r="Q606" s="1">
        <v>1976</v>
      </c>
      <c r="R606" s="1" t="s">
        <v>3767</v>
      </c>
      <c r="S606" s="1" t="s">
        <v>27</v>
      </c>
      <c r="T606" s="6">
        <v>1</v>
      </c>
      <c r="U606" s="1">
        <v>82.66</v>
      </c>
      <c r="X606" s="1">
        <v>1.25</v>
      </c>
    </row>
    <row r="607" spans="1:24" x14ac:dyDescent="0.2">
      <c r="A607" s="1" t="s">
        <v>4060</v>
      </c>
      <c r="B607" s="1" t="s">
        <v>57</v>
      </c>
      <c r="C607" s="1" t="s">
        <v>3761</v>
      </c>
      <c r="E607" s="1">
        <v>76</v>
      </c>
      <c r="F607" s="1" t="s">
        <v>4061</v>
      </c>
      <c r="H607" s="1" t="s">
        <v>4062</v>
      </c>
      <c r="I607" s="1" t="s">
        <v>7</v>
      </c>
      <c r="J607" s="1" t="s">
        <v>4063</v>
      </c>
      <c r="K607" s="1" t="s">
        <v>4064</v>
      </c>
      <c r="L607" s="1" t="s">
        <v>4065</v>
      </c>
      <c r="Q607" s="1">
        <v>1976</v>
      </c>
      <c r="R607" s="1" t="s">
        <v>3767</v>
      </c>
      <c r="S607" s="1" t="s">
        <v>27</v>
      </c>
      <c r="T607" s="6">
        <v>1</v>
      </c>
      <c r="U607" s="1">
        <v>70.599999999999994</v>
      </c>
      <c r="X607" s="1">
        <v>1.2</v>
      </c>
    </row>
    <row r="608" spans="1:24" x14ac:dyDescent="0.2">
      <c r="A608" s="1" t="s">
        <v>4066</v>
      </c>
      <c r="B608" s="1" t="s">
        <v>57</v>
      </c>
      <c r="C608" s="1" t="s">
        <v>3761</v>
      </c>
      <c r="E608" s="1">
        <v>76</v>
      </c>
      <c r="F608" s="1" t="s">
        <v>4061</v>
      </c>
      <c r="H608" s="1" t="s">
        <v>4067</v>
      </c>
      <c r="I608" s="1" t="s">
        <v>7</v>
      </c>
      <c r="J608" s="1" t="s">
        <v>4068</v>
      </c>
      <c r="K608" s="1" t="s">
        <v>4064</v>
      </c>
      <c r="L608" s="1" t="s">
        <v>4065</v>
      </c>
      <c r="Q608" s="1">
        <v>1976</v>
      </c>
      <c r="R608" s="1" t="s">
        <v>3767</v>
      </c>
      <c r="S608" s="1" t="s">
        <v>27</v>
      </c>
      <c r="T608" s="6">
        <v>1</v>
      </c>
      <c r="U608" s="1">
        <v>71.400000000000006</v>
      </c>
      <c r="X608" s="1">
        <v>1.5</v>
      </c>
    </row>
    <row r="609" spans="1:24" x14ac:dyDescent="0.2">
      <c r="A609" s="1" t="s">
        <v>4069</v>
      </c>
      <c r="B609" s="1" t="s">
        <v>57</v>
      </c>
      <c r="C609" s="1" t="s">
        <v>3761</v>
      </c>
      <c r="E609" s="1">
        <v>76</v>
      </c>
      <c r="F609" s="1" t="s">
        <v>4061</v>
      </c>
      <c r="H609" s="1" t="s">
        <v>4070</v>
      </c>
      <c r="I609" s="1" t="s">
        <v>7</v>
      </c>
      <c r="J609" s="1" t="s">
        <v>4071</v>
      </c>
      <c r="K609" s="1" t="s">
        <v>4064</v>
      </c>
      <c r="L609" s="1" t="s">
        <v>4065</v>
      </c>
      <c r="Q609" s="1">
        <v>1976</v>
      </c>
      <c r="R609" s="1" t="s">
        <v>3767</v>
      </c>
      <c r="S609" s="1" t="s">
        <v>27</v>
      </c>
      <c r="T609" s="6">
        <v>1</v>
      </c>
      <c r="U609" s="1">
        <v>87.6</v>
      </c>
      <c r="X609" s="1">
        <v>0.7</v>
      </c>
    </row>
    <row r="610" spans="1:24" x14ac:dyDescent="0.2">
      <c r="A610" s="1" t="s">
        <v>4072</v>
      </c>
      <c r="B610" s="1" t="s">
        <v>55</v>
      </c>
      <c r="C610" s="1" t="s">
        <v>4073</v>
      </c>
      <c r="E610" s="1">
        <v>23</v>
      </c>
      <c r="F610" s="1" t="s">
        <v>4074</v>
      </c>
      <c r="H610" s="1" t="s">
        <v>4075</v>
      </c>
      <c r="I610" s="1" t="s">
        <v>7</v>
      </c>
      <c r="J610" s="1" t="s">
        <v>4076</v>
      </c>
      <c r="K610" s="1" t="s">
        <v>4077</v>
      </c>
      <c r="L610" s="1" t="s">
        <v>4076</v>
      </c>
      <c r="Q610" s="1">
        <v>1976</v>
      </c>
      <c r="R610" s="1" t="s">
        <v>3767</v>
      </c>
      <c r="S610" s="1" t="s">
        <v>27</v>
      </c>
      <c r="T610" s="6">
        <v>1</v>
      </c>
      <c r="U610" s="1">
        <v>78.2</v>
      </c>
      <c r="X610" s="1">
        <v>1.8</v>
      </c>
    </row>
    <row r="611" spans="1:24" x14ac:dyDescent="0.2">
      <c r="A611" s="1" t="s">
        <v>4078</v>
      </c>
      <c r="B611" s="1" t="s">
        <v>55</v>
      </c>
      <c r="C611" s="1" t="s">
        <v>4079</v>
      </c>
      <c r="E611" s="1">
        <v>23</v>
      </c>
      <c r="F611" s="1" t="s">
        <v>4080</v>
      </c>
      <c r="H611" s="1" t="s">
        <v>4081</v>
      </c>
      <c r="I611" s="1" t="s">
        <v>7</v>
      </c>
      <c r="J611" s="1" t="s">
        <v>4082</v>
      </c>
      <c r="K611" s="1" t="s">
        <v>4083</v>
      </c>
      <c r="L611" s="1" t="s">
        <v>4082</v>
      </c>
      <c r="Q611" s="1">
        <v>1976</v>
      </c>
      <c r="R611" s="1" t="s">
        <v>3767</v>
      </c>
      <c r="S611" s="1" t="s">
        <v>27</v>
      </c>
      <c r="T611" s="6">
        <v>1</v>
      </c>
      <c r="U611" s="1">
        <v>74.099999999999994</v>
      </c>
      <c r="X611" s="1">
        <v>5.4</v>
      </c>
    </row>
    <row r="612" spans="1:24" x14ac:dyDescent="0.2">
      <c r="A612" s="1" t="s">
        <v>4084</v>
      </c>
      <c r="B612" s="1" t="s">
        <v>55</v>
      </c>
      <c r="C612" s="1" t="s">
        <v>3761</v>
      </c>
      <c r="E612" s="1">
        <v>23</v>
      </c>
      <c r="F612" s="1" t="s">
        <v>1472</v>
      </c>
      <c r="H612" s="1" t="s">
        <v>4085</v>
      </c>
      <c r="I612" s="1" t="s">
        <v>7</v>
      </c>
      <c r="J612" s="1" t="s">
        <v>2845</v>
      </c>
      <c r="K612" s="1" t="s">
        <v>1475</v>
      </c>
      <c r="L612" s="1" t="s">
        <v>1474</v>
      </c>
      <c r="Q612" s="1">
        <v>1976</v>
      </c>
      <c r="R612" s="1" t="s">
        <v>3767</v>
      </c>
      <c r="S612" s="1" t="s">
        <v>27</v>
      </c>
      <c r="T612" s="6">
        <v>1</v>
      </c>
      <c r="U612" s="1">
        <v>68.900000000000006</v>
      </c>
      <c r="X612" s="1">
        <v>9.02</v>
      </c>
    </row>
    <row r="613" spans="1:24" x14ac:dyDescent="0.2">
      <c r="A613" s="1" t="s">
        <v>4086</v>
      </c>
      <c r="B613" s="1" t="s">
        <v>55</v>
      </c>
      <c r="C613" s="1" t="s">
        <v>3791</v>
      </c>
      <c r="E613" s="1">
        <v>36</v>
      </c>
      <c r="F613" s="1" t="s">
        <v>3094</v>
      </c>
      <c r="H613" s="1" t="s">
        <v>4087</v>
      </c>
      <c r="I613" s="1" t="s">
        <v>7</v>
      </c>
      <c r="J613" s="1" t="s">
        <v>3097</v>
      </c>
      <c r="K613" s="1" t="s">
        <v>3098</v>
      </c>
      <c r="L613" s="1" t="s">
        <v>3097</v>
      </c>
      <c r="Q613" s="1">
        <v>1976</v>
      </c>
      <c r="R613" s="1" t="s">
        <v>3767</v>
      </c>
      <c r="S613" s="1" t="s">
        <v>27</v>
      </c>
      <c r="T613" s="6">
        <v>1</v>
      </c>
      <c r="U613" s="1">
        <v>64.900000000000006</v>
      </c>
      <c r="X613" s="1">
        <v>10.3</v>
      </c>
    </row>
    <row r="614" spans="1:24" x14ac:dyDescent="0.2">
      <c r="A614" s="1" t="s">
        <v>4088</v>
      </c>
      <c r="B614" s="1" t="s">
        <v>55</v>
      </c>
      <c r="C614" s="1" t="s">
        <v>3791</v>
      </c>
      <c r="E614" s="1">
        <v>36</v>
      </c>
      <c r="F614" s="1" t="s">
        <v>3094</v>
      </c>
      <c r="H614" s="1" t="s">
        <v>4089</v>
      </c>
      <c r="I614" s="1" t="s">
        <v>7</v>
      </c>
      <c r="J614" s="1" t="s">
        <v>3097</v>
      </c>
      <c r="K614" s="1" t="s">
        <v>3098</v>
      </c>
      <c r="L614" s="1" t="s">
        <v>3097</v>
      </c>
      <c r="Q614" s="1">
        <v>1976</v>
      </c>
      <c r="R614" s="1" t="s">
        <v>3767</v>
      </c>
      <c r="S614" s="1" t="s">
        <v>27</v>
      </c>
      <c r="T614" s="6">
        <v>1</v>
      </c>
      <c r="U614" s="1">
        <v>68.599999999999994</v>
      </c>
      <c r="X614" s="1">
        <v>8.25</v>
      </c>
    </row>
    <row r="615" spans="1:24" x14ac:dyDescent="0.2">
      <c r="A615" s="1" t="s">
        <v>4090</v>
      </c>
      <c r="B615" s="1" t="s">
        <v>55</v>
      </c>
      <c r="C615" s="1" t="s">
        <v>4091</v>
      </c>
      <c r="E615" s="1">
        <v>33</v>
      </c>
      <c r="F615" s="1" t="s">
        <v>4092</v>
      </c>
      <c r="G615" s="1" t="s">
        <v>4093</v>
      </c>
      <c r="H615" s="1" t="s">
        <v>4094</v>
      </c>
      <c r="I615" s="1" t="s">
        <v>7</v>
      </c>
      <c r="J615" s="1" t="s">
        <v>4095</v>
      </c>
      <c r="K615" s="1" t="s">
        <v>4096</v>
      </c>
      <c r="L615" s="1" t="s">
        <v>4095</v>
      </c>
      <c r="M615" s="1" t="s">
        <v>4097</v>
      </c>
      <c r="P615" s="1" t="s">
        <v>4098</v>
      </c>
      <c r="Q615" s="1">
        <v>2008</v>
      </c>
      <c r="R615" s="1" t="s">
        <v>4099</v>
      </c>
      <c r="S615" s="1" t="s">
        <v>27</v>
      </c>
      <c r="T615" s="6">
        <v>1</v>
      </c>
      <c r="U615" s="1">
        <v>80.7</v>
      </c>
      <c r="V615" s="1">
        <v>1</v>
      </c>
    </row>
    <row r="616" spans="1:24" x14ac:dyDescent="0.2">
      <c r="A616" s="1" t="s">
        <v>4100</v>
      </c>
      <c r="B616" s="1" t="s">
        <v>55</v>
      </c>
      <c r="C616" s="1" t="s">
        <v>4091</v>
      </c>
      <c r="E616" s="1">
        <v>12</v>
      </c>
      <c r="F616" s="1" t="s">
        <v>1374</v>
      </c>
      <c r="G616" s="1" t="s">
        <v>4101</v>
      </c>
      <c r="H616" s="1" t="s">
        <v>4102</v>
      </c>
      <c r="I616" s="1" t="s">
        <v>7</v>
      </c>
      <c r="J616" s="1" t="s">
        <v>1376</v>
      </c>
      <c r="K616" s="1" t="s">
        <v>1377</v>
      </c>
      <c r="L616" s="1" t="s">
        <v>1376</v>
      </c>
      <c r="M616" s="1" t="s">
        <v>4097</v>
      </c>
      <c r="P616" s="1" t="s">
        <v>4098</v>
      </c>
      <c r="Q616" s="1">
        <v>2008</v>
      </c>
      <c r="R616" s="1" t="s">
        <v>4099</v>
      </c>
      <c r="S616" s="1" t="s">
        <v>27</v>
      </c>
      <c r="T616" s="6">
        <v>1</v>
      </c>
      <c r="U616" s="1">
        <v>80.2</v>
      </c>
      <c r="V616" s="1">
        <v>1.2</v>
      </c>
    </row>
    <row r="617" spans="1:24" x14ac:dyDescent="0.2">
      <c r="A617" s="1" t="s">
        <v>4103</v>
      </c>
      <c r="B617" s="1" t="s">
        <v>55</v>
      </c>
      <c r="C617" s="1" t="s">
        <v>4091</v>
      </c>
      <c r="E617" s="1">
        <v>13</v>
      </c>
      <c r="F617" s="1" t="s">
        <v>4104</v>
      </c>
      <c r="G617" s="1" t="s">
        <v>4105</v>
      </c>
      <c r="H617" s="1" t="s">
        <v>4106</v>
      </c>
      <c r="I617" s="1" t="s">
        <v>7</v>
      </c>
      <c r="J617" s="1" t="s">
        <v>4107</v>
      </c>
      <c r="K617" s="1" t="s">
        <v>4108</v>
      </c>
      <c r="L617" s="1" t="s">
        <v>4109</v>
      </c>
      <c r="M617" s="1" t="s">
        <v>4097</v>
      </c>
      <c r="P617" s="1" t="s">
        <v>4098</v>
      </c>
      <c r="Q617" s="1">
        <v>2008</v>
      </c>
      <c r="R617" s="1" t="s">
        <v>4099</v>
      </c>
      <c r="S617" s="1" t="s">
        <v>27</v>
      </c>
      <c r="T617" s="6">
        <v>1</v>
      </c>
      <c r="U617" s="1">
        <v>76.400000000000006</v>
      </c>
      <c r="V617" s="1">
        <v>3.2</v>
      </c>
    </row>
    <row r="618" spans="1:24" x14ac:dyDescent="0.2">
      <c r="A618" s="1" t="s">
        <v>4110</v>
      </c>
      <c r="B618" s="1" t="s">
        <v>55</v>
      </c>
      <c r="C618" s="1" t="s">
        <v>4091</v>
      </c>
      <c r="E618" s="1">
        <v>13</v>
      </c>
      <c r="F618" s="1" t="s">
        <v>4111</v>
      </c>
      <c r="G618" s="1" t="s">
        <v>4112</v>
      </c>
      <c r="H618" s="1" t="s">
        <v>4113</v>
      </c>
      <c r="I618" s="1" t="s">
        <v>7</v>
      </c>
      <c r="J618" s="1" t="s">
        <v>4114</v>
      </c>
      <c r="L618" s="1" t="s">
        <v>4114</v>
      </c>
      <c r="M618" s="1" t="s">
        <v>4097</v>
      </c>
      <c r="P618" s="1" t="s">
        <v>4098</v>
      </c>
      <c r="Q618" s="1">
        <v>2008</v>
      </c>
      <c r="R618" s="1" t="s">
        <v>4099</v>
      </c>
      <c r="S618" s="1" t="s">
        <v>27</v>
      </c>
      <c r="T618" s="6">
        <v>1</v>
      </c>
      <c r="U618" s="1">
        <v>77.2</v>
      </c>
      <c r="V618" s="1">
        <v>4.5999999999999996</v>
      </c>
    </row>
    <row r="619" spans="1:24" x14ac:dyDescent="0.2">
      <c r="A619" s="1" t="s">
        <v>4115</v>
      </c>
      <c r="B619" s="1" t="s">
        <v>1912</v>
      </c>
      <c r="C619" s="1" t="s">
        <v>4116</v>
      </c>
      <c r="E619" s="1">
        <v>43</v>
      </c>
      <c r="F619" s="1" t="s">
        <v>4117</v>
      </c>
      <c r="H619" s="1" t="s">
        <v>4118</v>
      </c>
      <c r="I619" s="1" t="s">
        <v>7</v>
      </c>
      <c r="J619" s="1" t="s">
        <v>4119</v>
      </c>
      <c r="K619" s="1" t="s">
        <v>4120</v>
      </c>
      <c r="L619" s="1" t="s">
        <v>4119</v>
      </c>
      <c r="N619" s="1" t="s">
        <v>4121</v>
      </c>
      <c r="Q619" s="1">
        <v>2008</v>
      </c>
      <c r="R619" s="1" t="s">
        <v>4122</v>
      </c>
      <c r="S619" s="1" t="s">
        <v>27</v>
      </c>
      <c r="T619" s="6">
        <v>1</v>
      </c>
    </row>
    <row r="620" spans="1:24" x14ac:dyDescent="0.2">
      <c r="A620" s="1" t="s">
        <v>4123</v>
      </c>
      <c r="B620" s="1" t="s">
        <v>1912</v>
      </c>
      <c r="C620" s="1" t="s">
        <v>4116</v>
      </c>
      <c r="E620" s="1">
        <v>43</v>
      </c>
      <c r="F620" s="1" t="s">
        <v>4117</v>
      </c>
      <c r="H620" s="1" t="s">
        <v>4124</v>
      </c>
      <c r="I620" s="1" t="s">
        <v>7</v>
      </c>
      <c r="J620" s="1" t="s">
        <v>4119</v>
      </c>
      <c r="K620" s="1" t="s">
        <v>4120</v>
      </c>
      <c r="L620" s="1" t="s">
        <v>4119</v>
      </c>
      <c r="N620" s="1" t="s">
        <v>4121</v>
      </c>
      <c r="Q620" s="1">
        <v>2008</v>
      </c>
      <c r="R620" s="1" t="s">
        <v>4122</v>
      </c>
      <c r="S620" s="1" t="s">
        <v>27</v>
      </c>
      <c r="T620" s="6">
        <v>1</v>
      </c>
    </row>
    <row r="621" spans="1:24" x14ac:dyDescent="0.2">
      <c r="A621" s="1" t="s">
        <v>4125</v>
      </c>
      <c r="B621" s="1" t="s">
        <v>1912</v>
      </c>
      <c r="C621" s="1" t="s">
        <v>4116</v>
      </c>
      <c r="E621" s="1">
        <v>43</v>
      </c>
      <c r="F621" s="1" t="s">
        <v>4117</v>
      </c>
      <c r="H621" s="1" t="s">
        <v>4126</v>
      </c>
      <c r="I621" s="1" t="s">
        <v>7</v>
      </c>
      <c r="J621" s="1" t="s">
        <v>4119</v>
      </c>
      <c r="K621" s="1" t="s">
        <v>4120</v>
      </c>
      <c r="L621" s="1" t="s">
        <v>4119</v>
      </c>
      <c r="N621" s="1" t="s">
        <v>4121</v>
      </c>
      <c r="Q621" s="1">
        <v>2008</v>
      </c>
      <c r="R621" s="1" t="s">
        <v>4122</v>
      </c>
      <c r="S621" s="1" t="s">
        <v>27</v>
      </c>
      <c r="T621" s="6">
        <v>1</v>
      </c>
    </row>
    <row r="622" spans="1:24" x14ac:dyDescent="0.2">
      <c r="A622" s="1" t="s">
        <v>4127</v>
      </c>
      <c r="B622" s="1" t="s">
        <v>1912</v>
      </c>
      <c r="C622" s="1" t="s">
        <v>2595</v>
      </c>
      <c r="E622" s="1">
        <v>43</v>
      </c>
      <c r="F622" s="1" t="s">
        <v>1913</v>
      </c>
      <c r="H622" s="1" t="s">
        <v>4128</v>
      </c>
      <c r="I622" s="1" t="s">
        <v>7</v>
      </c>
      <c r="J622" s="1" t="s">
        <v>1915</v>
      </c>
      <c r="K622" s="1" t="s">
        <v>1916</v>
      </c>
      <c r="L622" s="1" t="s">
        <v>1915</v>
      </c>
      <c r="N622" s="1" t="s">
        <v>4129</v>
      </c>
      <c r="Q622" s="1">
        <v>2008</v>
      </c>
      <c r="R622" s="1" t="s">
        <v>4122</v>
      </c>
      <c r="S622" s="1" t="s">
        <v>27</v>
      </c>
      <c r="T622" s="6">
        <v>1</v>
      </c>
    </row>
    <row r="623" spans="1:24" x14ac:dyDescent="0.2">
      <c r="A623" s="1" t="s">
        <v>4130</v>
      </c>
      <c r="B623" s="1" t="s">
        <v>1912</v>
      </c>
      <c r="C623" s="1" t="s">
        <v>2595</v>
      </c>
      <c r="E623" s="1">
        <v>43</v>
      </c>
      <c r="F623" s="1" t="s">
        <v>1913</v>
      </c>
      <c r="H623" s="1" t="s">
        <v>4131</v>
      </c>
      <c r="I623" s="1" t="s">
        <v>7</v>
      </c>
      <c r="J623" s="1" t="s">
        <v>1915</v>
      </c>
      <c r="K623" s="1" t="s">
        <v>1916</v>
      </c>
      <c r="L623" s="1" t="s">
        <v>1915</v>
      </c>
      <c r="N623" s="1" t="s">
        <v>4129</v>
      </c>
      <c r="Q623" s="1">
        <v>2008</v>
      </c>
      <c r="R623" s="1" t="s">
        <v>4122</v>
      </c>
      <c r="S623" s="1" t="s">
        <v>27</v>
      </c>
      <c r="T623" s="6">
        <v>1</v>
      </c>
    </row>
    <row r="624" spans="1:24" x14ac:dyDescent="0.2">
      <c r="A624" s="1" t="s">
        <v>4132</v>
      </c>
      <c r="B624" s="1" t="s">
        <v>1912</v>
      </c>
      <c r="C624" s="1" t="s">
        <v>2595</v>
      </c>
      <c r="E624" s="1">
        <v>43</v>
      </c>
      <c r="F624" s="1" t="s">
        <v>1913</v>
      </c>
      <c r="H624" s="1" t="s">
        <v>4133</v>
      </c>
      <c r="I624" s="1" t="s">
        <v>7</v>
      </c>
      <c r="J624" s="1" t="s">
        <v>1915</v>
      </c>
      <c r="K624" s="1" t="s">
        <v>1916</v>
      </c>
      <c r="L624" s="1" t="s">
        <v>1915</v>
      </c>
      <c r="N624" s="1" t="s">
        <v>4129</v>
      </c>
      <c r="Q624" s="1">
        <v>2008</v>
      </c>
      <c r="R624" s="1" t="s">
        <v>4122</v>
      </c>
      <c r="S624" s="1" t="s">
        <v>27</v>
      </c>
      <c r="T624" s="6">
        <v>1</v>
      </c>
    </row>
    <row r="625" spans="1:169" x14ac:dyDescent="0.2">
      <c r="A625" s="1" t="s">
        <v>4134</v>
      </c>
      <c r="B625" s="1" t="s">
        <v>1912</v>
      </c>
      <c r="C625" s="1" t="s">
        <v>2595</v>
      </c>
      <c r="E625" s="1">
        <v>43</v>
      </c>
      <c r="F625" s="1" t="s">
        <v>1913</v>
      </c>
      <c r="H625" s="1" t="s">
        <v>4135</v>
      </c>
      <c r="I625" s="1" t="s">
        <v>7</v>
      </c>
      <c r="J625" s="1" t="s">
        <v>1915</v>
      </c>
      <c r="K625" s="1" t="s">
        <v>1916</v>
      </c>
      <c r="L625" s="1" t="s">
        <v>1915</v>
      </c>
      <c r="N625" s="1" t="s">
        <v>4129</v>
      </c>
      <c r="Q625" s="1">
        <v>2008</v>
      </c>
      <c r="R625" s="1" t="s">
        <v>4122</v>
      </c>
      <c r="S625" s="1" t="s">
        <v>27</v>
      </c>
      <c r="T625" s="6">
        <v>1</v>
      </c>
    </row>
    <row r="626" spans="1:169" x14ac:dyDescent="0.2">
      <c r="A626" s="1" t="s">
        <v>4136</v>
      </c>
      <c r="B626" s="1" t="s">
        <v>1912</v>
      </c>
      <c r="C626" s="1" t="s">
        <v>4137</v>
      </c>
      <c r="D626" s="1" t="s">
        <v>2</v>
      </c>
      <c r="E626" s="1">
        <v>41</v>
      </c>
      <c r="F626" s="1" t="s">
        <v>4138</v>
      </c>
      <c r="H626" s="1" t="s">
        <v>4139</v>
      </c>
      <c r="I626" s="1" t="s">
        <v>11</v>
      </c>
      <c r="J626" s="1" t="s">
        <v>4140</v>
      </c>
      <c r="K626" s="1" t="s">
        <v>4141</v>
      </c>
      <c r="L626" s="1" t="s">
        <v>4140</v>
      </c>
      <c r="M626" s="1" t="s">
        <v>4142</v>
      </c>
      <c r="N626" s="1" t="s">
        <v>4143</v>
      </c>
      <c r="P626" s="1" t="s">
        <v>1270</v>
      </c>
      <c r="Q626" s="1">
        <v>2007</v>
      </c>
      <c r="R626" s="1" t="s">
        <v>4144</v>
      </c>
      <c r="S626" s="1" t="s">
        <v>27</v>
      </c>
      <c r="T626" s="6">
        <v>1</v>
      </c>
      <c r="U626" s="1">
        <v>78.8</v>
      </c>
      <c r="W626" s="1">
        <v>0.9</v>
      </c>
      <c r="Y626" s="1">
        <v>0.14632133999999999</v>
      </c>
      <c r="Z626" s="1">
        <v>0.29258393999999999</v>
      </c>
      <c r="AA626" s="1">
        <v>0.14021238</v>
      </c>
      <c r="AB626" s="1">
        <v>8.2235999999999993E-3</v>
      </c>
      <c r="AD626" s="1">
        <v>0.65266666666666695</v>
      </c>
      <c r="AF626" s="1">
        <v>4.3702560000000001E-2</v>
      </c>
      <c r="AG626" s="1">
        <v>9.6509819999999996E-2</v>
      </c>
      <c r="AW626" s="1">
        <v>1.0103279999999999E-2</v>
      </c>
      <c r="AY626" s="1">
        <v>7.2837600000000002E-3</v>
      </c>
      <c r="BA626" s="1">
        <v>8.3528279999999996E-2</v>
      </c>
      <c r="BD626" s="1">
        <v>1.6682160000000001E-2</v>
      </c>
      <c r="BG626" s="1">
        <v>1.6917120000000001E-2</v>
      </c>
      <c r="BH626" s="1">
        <v>1.1747999999999999E-3</v>
      </c>
      <c r="BI626" s="1">
        <v>1.05732E-3</v>
      </c>
      <c r="BK626" s="1">
        <v>9.3983999999999995E-4</v>
      </c>
      <c r="BL626" s="1">
        <v>9.3983999999999995E-4</v>
      </c>
      <c r="BR626" s="1">
        <v>1.5859800000000001E-3</v>
      </c>
      <c r="BZ626" s="1">
        <v>8.4115679999999998E-2</v>
      </c>
      <c r="CK626" s="1">
        <v>0.18185904</v>
      </c>
      <c r="CS626" s="1">
        <v>4.6404599999999999E-3</v>
      </c>
      <c r="CV626" s="1">
        <v>1.7856960000000002E-2</v>
      </c>
      <c r="DB626" s="1">
        <v>8.811E-4</v>
      </c>
      <c r="DN626" s="1">
        <v>6.9959339999999995E-2</v>
      </c>
      <c r="DT626" s="1">
        <v>8.2823399999999991E-3</v>
      </c>
      <c r="EH626" s="1">
        <v>1.421508E-2</v>
      </c>
      <c r="EK626" s="1">
        <v>2.46708E-3</v>
      </c>
      <c r="EX626" s="1">
        <v>1.5801059999999999E-2</v>
      </c>
      <c r="FE626" s="1">
        <v>1.274658E-2</v>
      </c>
      <c r="FM626" s="1">
        <v>1.67409E-2</v>
      </c>
    </row>
    <row r="627" spans="1:169" x14ac:dyDescent="0.2">
      <c r="A627" s="1" t="s">
        <v>4145</v>
      </c>
      <c r="B627" s="1" t="s">
        <v>1912</v>
      </c>
      <c r="C627" s="1" t="s">
        <v>4137</v>
      </c>
      <c r="D627" s="1" t="s">
        <v>2</v>
      </c>
      <c r="E627" s="1">
        <v>41</v>
      </c>
      <c r="F627" s="1" t="s">
        <v>4138</v>
      </c>
      <c r="H627" s="1" t="s">
        <v>4146</v>
      </c>
      <c r="I627" s="1" t="s">
        <v>11</v>
      </c>
      <c r="J627" s="1" t="s">
        <v>4140</v>
      </c>
      <c r="K627" s="1" t="s">
        <v>4141</v>
      </c>
      <c r="L627" s="1" t="s">
        <v>4140</v>
      </c>
      <c r="M627" s="1" t="s">
        <v>4142</v>
      </c>
      <c r="N627" s="1" t="s">
        <v>4143</v>
      </c>
      <c r="Q627" s="1">
        <v>2007</v>
      </c>
      <c r="R627" s="1" t="s">
        <v>4144</v>
      </c>
      <c r="S627" s="1" t="s">
        <v>27</v>
      </c>
      <c r="T627" s="6">
        <v>1</v>
      </c>
      <c r="U627" s="1" t="s">
        <v>4147</v>
      </c>
      <c r="W627" s="1" t="s">
        <v>4149</v>
      </c>
    </row>
    <row r="628" spans="1:169" x14ac:dyDescent="0.2">
      <c r="A628" s="1" t="s">
        <v>4151</v>
      </c>
      <c r="B628" s="1" t="s">
        <v>57</v>
      </c>
      <c r="C628" s="1" t="s">
        <v>4152</v>
      </c>
      <c r="D628" s="1" t="s">
        <v>2</v>
      </c>
      <c r="E628" s="1">
        <v>54</v>
      </c>
      <c r="F628" s="1" t="s">
        <v>4153</v>
      </c>
      <c r="H628" s="1" t="s">
        <v>4154</v>
      </c>
      <c r="I628" s="1" t="s">
        <v>7</v>
      </c>
      <c r="J628" s="1" t="s">
        <v>4155</v>
      </c>
      <c r="K628" s="1" t="s">
        <v>4156</v>
      </c>
      <c r="L628" s="1" t="s">
        <v>4155</v>
      </c>
      <c r="M628" s="1" t="s">
        <v>4157</v>
      </c>
      <c r="P628" s="1" t="s">
        <v>1270</v>
      </c>
      <c r="Q628" s="1">
        <v>2009</v>
      </c>
      <c r="R628" s="1" t="s">
        <v>4158</v>
      </c>
      <c r="S628" s="1" t="s">
        <v>27</v>
      </c>
      <c r="T628" s="6">
        <v>1</v>
      </c>
      <c r="U628" s="1" t="s">
        <v>4159</v>
      </c>
      <c r="W628" s="1" t="s">
        <v>1568</v>
      </c>
      <c r="Y628" s="1">
        <v>0.37843653199999999</v>
      </c>
      <c r="Z628" s="1">
        <v>0.26165302000000001</v>
      </c>
      <c r="AA628" s="1">
        <v>0.33834786</v>
      </c>
      <c r="AD628" s="1">
        <v>0.78188235294117603</v>
      </c>
      <c r="AW628" s="1">
        <v>2.1386828E-2</v>
      </c>
      <c r="AY628" s="1">
        <v>1.2786904E-2</v>
      </c>
      <c r="BA628" s="1">
        <v>0.27408104</v>
      </c>
      <c r="BD628" s="1">
        <v>9.7031600000000006E-3</v>
      </c>
      <c r="BG628" s="1">
        <v>6.04786E-2</v>
      </c>
      <c r="BZ628" s="1">
        <v>0.18382836</v>
      </c>
      <c r="CK628" s="1">
        <v>3.9144940000000003E-2</v>
      </c>
      <c r="CV628" s="1">
        <v>3.8679720000000001E-2</v>
      </c>
      <c r="DN628" s="1">
        <v>2.1014652000000002E-2</v>
      </c>
      <c r="DS628" s="1">
        <v>8.6397999999999996E-3</v>
      </c>
      <c r="EH628" s="1">
        <v>3.92114E-2</v>
      </c>
      <c r="EX628" s="1">
        <v>1.4501572000000001E-2</v>
      </c>
      <c r="FE628" s="1">
        <v>0.13561827600000001</v>
      </c>
      <c r="FM628" s="1">
        <v>0.11936215999999999</v>
      </c>
    </row>
    <row r="629" spans="1:169" x14ac:dyDescent="0.2">
      <c r="A629" s="1" t="s">
        <v>4162</v>
      </c>
      <c r="B629" s="1" t="s">
        <v>57</v>
      </c>
      <c r="C629" s="1" t="s">
        <v>4163</v>
      </c>
      <c r="D629" s="1" t="s">
        <v>2</v>
      </c>
      <c r="E629" s="1">
        <v>54</v>
      </c>
      <c r="F629" s="1" t="s">
        <v>4153</v>
      </c>
      <c r="H629" s="1" t="s">
        <v>4154</v>
      </c>
      <c r="I629" s="1" t="s">
        <v>7</v>
      </c>
      <c r="J629" s="1" t="s">
        <v>4155</v>
      </c>
      <c r="K629" s="1" t="s">
        <v>4156</v>
      </c>
      <c r="L629" s="1" t="s">
        <v>4155</v>
      </c>
      <c r="M629" s="1" t="s">
        <v>4157</v>
      </c>
      <c r="P629" s="1" t="s">
        <v>1270</v>
      </c>
      <c r="Q629" s="1">
        <v>2009</v>
      </c>
      <c r="R629" s="1" t="s">
        <v>4158</v>
      </c>
      <c r="S629" s="1" t="s">
        <v>27</v>
      </c>
      <c r="T629" s="6">
        <v>1</v>
      </c>
      <c r="U629" s="1" t="s">
        <v>4164</v>
      </c>
      <c r="W629" s="1" t="s">
        <v>4166</v>
      </c>
      <c r="Y629" s="1">
        <v>0.67224801599999995</v>
      </c>
      <c r="Z629" s="1">
        <v>0.315755968</v>
      </c>
      <c r="AA629" s="1">
        <v>0.53963324800000001</v>
      </c>
      <c r="AD629" s="1">
        <v>0.81504761904761902</v>
      </c>
      <c r="AW629" s="1">
        <v>6.3312084000000005E-2</v>
      </c>
      <c r="AY629" s="1">
        <v>2.6872119999999999E-2</v>
      </c>
      <c r="BA629" s="1">
        <v>0.41662055599999998</v>
      </c>
      <c r="BD629" s="1">
        <v>1.1125400000000001E-2</v>
      </c>
      <c r="BG629" s="1">
        <v>0.154317856</v>
      </c>
      <c r="BZ629" s="1">
        <v>0.18861832000000001</v>
      </c>
      <c r="CK629" s="1">
        <v>6.2952648E-2</v>
      </c>
      <c r="CV629" s="1">
        <v>6.4185000000000006E-2</v>
      </c>
      <c r="DN629" s="1">
        <v>4.6247431999999998E-2</v>
      </c>
      <c r="DS629" s="1">
        <v>1.300816E-2</v>
      </c>
      <c r="EH629" s="1">
        <v>3.1493439999999998E-2</v>
      </c>
      <c r="EX629" s="1">
        <v>1.5199008E-2</v>
      </c>
      <c r="FE629" s="1">
        <v>0.213573448</v>
      </c>
      <c r="FM629" s="1">
        <v>0.22011175999999999</v>
      </c>
    </row>
    <row r="630" spans="1:169" x14ac:dyDescent="0.2">
      <c r="A630" s="1" t="s">
        <v>4168</v>
      </c>
      <c r="B630" s="1" t="s">
        <v>1912</v>
      </c>
      <c r="C630" s="1" t="s">
        <v>4169</v>
      </c>
      <c r="D630" s="1" t="s">
        <v>2</v>
      </c>
      <c r="E630" s="1">
        <v>45</v>
      </c>
      <c r="F630" s="1" t="s">
        <v>3696</v>
      </c>
      <c r="H630" s="1" t="s">
        <v>4170</v>
      </c>
      <c r="I630" s="1" t="s">
        <v>7</v>
      </c>
      <c r="J630" s="1" t="s">
        <v>3698</v>
      </c>
      <c r="K630" s="1" t="s">
        <v>3699</v>
      </c>
      <c r="L630" s="1" t="s">
        <v>3698</v>
      </c>
      <c r="P630" s="1" t="s">
        <v>4171</v>
      </c>
      <c r="Q630" s="1">
        <v>2007</v>
      </c>
      <c r="R630" s="1" t="s">
        <v>4172</v>
      </c>
      <c r="S630" s="1" t="s">
        <v>27</v>
      </c>
      <c r="T630" s="6">
        <v>1</v>
      </c>
      <c r="U630" s="1">
        <v>80.47</v>
      </c>
      <c r="X630" s="1">
        <v>1.23</v>
      </c>
      <c r="Y630" s="1">
        <v>0.31961951999999999</v>
      </c>
      <c r="AA630" s="1">
        <v>0.39997584000000003</v>
      </c>
      <c r="AB630" s="1">
        <v>4.9658399999999998E-2</v>
      </c>
      <c r="AD630" s="1">
        <v>0.73404878048780497</v>
      </c>
      <c r="AF630" s="1">
        <v>0.22662288</v>
      </c>
      <c r="AG630" s="1">
        <v>0.17425584</v>
      </c>
      <c r="AW630" s="1">
        <v>3.430944E-3</v>
      </c>
      <c r="AY630" s="1">
        <v>3.430944E-3</v>
      </c>
      <c r="BA630" s="1">
        <v>0.20043936000000001</v>
      </c>
      <c r="BD630" s="1">
        <v>1.3814063999999999E-2</v>
      </c>
      <c r="BG630" s="1">
        <v>9.4892688000000003E-2</v>
      </c>
      <c r="BI630" s="1">
        <v>1.35432E-3</v>
      </c>
      <c r="BK630" s="1">
        <v>1.625184E-3</v>
      </c>
      <c r="BM630" s="1">
        <v>1.264032E-3</v>
      </c>
      <c r="BZ630" s="1">
        <v>1.2820896E-2</v>
      </c>
      <c r="CF630" s="1">
        <v>2.798928E-3</v>
      </c>
      <c r="CK630" s="1">
        <v>8.9746272000000002E-2</v>
      </c>
      <c r="CM630" s="1">
        <v>1.9682783999999998E-2</v>
      </c>
      <c r="CU630" s="1">
        <v>1.625184E-3</v>
      </c>
      <c r="CV630" s="1">
        <v>3.61152E-3</v>
      </c>
      <c r="DF630" s="1">
        <v>1.986336E-3</v>
      </c>
      <c r="DN630" s="1">
        <v>0.1173744</v>
      </c>
      <c r="DT630" s="1">
        <v>6.139584E-3</v>
      </c>
      <c r="ED630" s="1">
        <v>2.2572E-3</v>
      </c>
      <c r="EH630" s="1">
        <v>6.952176E-3</v>
      </c>
      <c r="EL630" s="1">
        <v>1.083456E-3</v>
      </c>
      <c r="EX630" s="1">
        <v>4.1081039999999999E-2</v>
      </c>
      <c r="EY630" s="1">
        <v>1.35432E-3</v>
      </c>
      <c r="FA630" s="1">
        <v>1.896048E-3</v>
      </c>
      <c r="FE630" s="1">
        <v>7.7467103999999995E-2</v>
      </c>
      <c r="FI630" s="1">
        <v>6.229872E-3</v>
      </c>
      <c r="FJ630" s="1">
        <v>5.41728E-3</v>
      </c>
      <c r="FM630" s="1">
        <v>0.13452912</v>
      </c>
    </row>
    <row r="631" spans="1:169" x14ac:dyDescent="0.2">
      <c r="A631" s="1" t="s">
        <v>4193</v>
      </c>
      <c r="B631" s="1" t="s">
        <v>1912</v>
      </c>
      <c r="C631" s="1" t="s">
        <v>4194</v>
      </c>
      <c r="D631" s="1" t="s">
        <v>2</v>
      </c>
      <c r="E631" s="1">
        <v>45</v>
      </c>
      <c r="F631" s="1" t="s">
        <v>4195</v>
      </c>
      <c r="H631" s="1" t="s">
        <v>4196</v>
      </c>
      <c r="I631" s="1" t="s">
        <v>7</v>
      </c>
      <c r="J631" s="1" t="s">
        <v>4197</v>
      </c>
      <c r="K631" s="1" t="s">
        <v>4198</v>
      </c>
      <c r="L631" s="1" t="s">
        <v>4197</v>
      </c>
      <c r="P631" s="1" t="s">
        <v>4171</v>
      </c>
      <c r="Q631" s="1">
        <v>2007</v>
      </c>
      <c r="R631" s="1" t="s">
        <v>4172</v>
      </c>
      <c r="S631" s="1" t="s">
        <v>27</v>
      </c>
      <c r="T631" s="6">
        <v>1</v>
      </c>
      <c r="U631" s="1">
        <v>77.209999999999994</v>
      </c>
      <c r="X631" s="1">
        <v>1.3</v>
      </c>
      <c r="Y631" s="1">
        <v>0.34718840000000001</v>
      </c>
      <c r="AA631" s="1">
        <v>0.4092556</v>
      </c>
      <c r="AB631" s="1">
        <v>5.7606119999999997E-2</v>
      </c>
      <c r="AD631" s="1">
        <v>0.746</v>
      </c>
      <c r="AF631" s="1">
        <v>0.2046278</v>
      </c>
      <c r="AG631" s="1">
        <v>0.2046278</v>
      </c>
      <c r="AW631" s="1">
        <v>3.9761800000000002E-3</v>
      </c>
      <c r="AY631" s="1">
        <v>3.5882599999999998E-3</v>
      </c>
      <c r="BA631" s="1">
        <v>0.2114164</v>
      </c>
      <c r="BD631" s="1">
        <v>1.4062099999999999E-2</v>
      </c>
      <c r="BG631" s="1">
        <v>0.111527</v>
      </c>
      <c r="BI631" s="1">
        <v>2.23054E-3</v>
      </c>
      <c r="BZ631" s="1">
        <v>1.3480219999999999E-2</v>
      </c>
      <c r="CF631" s="1">
        <v>2.32752E-3</v>
      </c>
      <c r="CK631" s="1">
        <v>0.11055719999999999</v>
      </c>
      <c r="CM631" s="1">
        <v>2.3372179999999999E-2</v>
      </c>
      <c r="CU631" s="1">
        <v>1.5516799999999999E-3</v>
      </c>
      <c r="CV631" s="1">
        <v>5.13994E-3</v>
      </c>
      <c r="DN631" s="1">
        <v>0.1512888</v>
      </c>
      <c r="DT631" s="1">
        <v>1.3577199999999999E-2</v>
      </c>
      <c r="ED631" s="1">
        <v>2.9093999999999999E-3</v>
      </c>
      <c r="EH631" s="1">
        <v>9.5040400000000001E-3</v>
      </c>
      <c r="EL631" s="1">
        <v>1.7456399999999999E-3</v>
      </c>
      <c r="EX631" s="1">
        <v>3.1324539999999998E-2</v>
      </c>
      <c r="FA631" s="1">
        <v>1.9396000000000001E-3</v>
      </c>
      <c r="FE631" s="1">
        <v>9.1743080000000005E-2</v>
      </c>
      <c r="FI631" s="1">
        <v>3.2973199999999999E-3</v>
      </c>
      <c r="FJ631" s="1">
        <v>4.849E-3</v>
      </c>
      <c r="FM631" s="1">
        <v>9.688302E-2</v>
      </c>
    </row>
    <row r="632" spans="1:169" x14ac:dyDescent="0.2">
      <c r="A632" s="1" t="s">
        <v>4217</v>
      </c>
      <c r="B632" s="1" t="s">
        <v>55</v>
      </c>
      <c r="C632" s="1" t="s">
        <v>4218</v>
      </c>
      <c r="E632" s="1">
        <v>37</v>
      </c>
      <c r="F632" s="1" t="s">
        <v>4219</v>
      </c>
      <c r="G632" s="1" t="s">
        <v>4220</v>
      </c>
      <c r="H632" s="1" t="s">
        <v>4221</v>
      </c>
      <c r="I632" s="1" t="s">
        <v>7</v>
      </c>
      <c r="J632" s="1" t="s">
        <v>4222</v>
      </c>
      <c r="K632" s="1" t="s">
        <v>4223</v>
      </c>
      <c r="L632" s="1" t="s">
        <v>4222</v>
      </c>
      <c r="M632" s="1" t="s">
        <v>758</v>
      </c>
      <c r="N632" s="1" t="s">
        <v>4224</v>
      </c>
      <c r="P632" s="1" t="s">
        <v>4225</v>
      </c>
      <c r="Q632" s="1">
        <v>2004</v>
      </c>
      <c r="R632" s="1" t="s">
        <v>4226</v>
      </c>
      <c r="S632" s="1" t="s">
        <v>27</v>
      </c>
      <c r="T632" s="6">
        <v>1</v>
      </c>
      <c r="U632" s="1">
        <v>76.63</v>
      </c>
      <c r="V632" s="1">
        <v>2.11</v>
      </c>
      <c r="Y632" s="1">
        <v>0.71528183400000001</v>
      </c>
      <c r="Z632" s="1">
        <v>0.726418177</v>
      </c>
      <c r="AA632" s="1">
        <v>0.35052095999999999</v>
      </c>
      <c r="AD632" s="1">
        <v>0.86522748815165895</v>
      </c>
      <c r="AF632" s="1">
        <v>0.22948169099999999</v>
      </c>
      <c r="AG632" s="1">
        <v>0.121039269</v>
      </c>
      <c r="AU632" s="1">
        <v>7.1199569999999997E-3</v>
      </c>
      <c r="AW632" s="1">
        <v>0.172156909</v>
      </c>
      <c r="AY632" s="1">
        <v>2.4828567999999999E-2</v>
      </c>
      <c r="BA632" s="1">
        <v>0.40163860000000001</v>
      </c>
      <c r="BD632" s="1">
        <v>1.4970166E-2</v>
      </c>
      <c r="BG632" s="1">
        <v>9.0916373999999994E-2</v>
      </c>
      <c r="BM632" s="1">
        <v>3.6512599999999999E-3</v>
      </c>
      <c r="BS632" s="1">
        <v>3.3409029E-2</v>
      </c>
      <c r="BX632" s="1">
        <v>4.8379195E-2</v>
      </c>
      <c r="BZ632" s="1">
        <v>0.28443315400000002</v>
      </c>
      <c r="CF632" s="1">
        <v>1.1684032E-2</v>
      </c>
      <c r="CK632" s="1">
        <v>0.21852791099999999</v>
      </c>
      <c r="CM632" s="1">
        <v>9.0186121999999994E-2</v>
      </c>
      <c r="CQ632" s="1">
        <v>1.7891173999999999E-2</v>
      </c>
      <c r="CV632" s="1">
        <v>1.3874788000000001E-2</v>
      </c>
      <c r="DB632" s="1">
        <v>4.1989490000000004E-3</v>
      </c>
      <c r="DE632" s="1">
        <v>3.8338230000000001E-3</v>
      </c>
      <c r="DN632" s="1">
        <v>8.1057972000000006E-2</v>
      </c>
      <c r="DT632" s="1">
        <v>3.1035709999999998E-3</v>
      </c>
      <c r="DW632" s="1">
        <v>4.0163860000000003E-3</v>
      </c>
      <c r="ED632" s="1">
        <v>2.9210080000000001E-3</v>
      </c>
      <c r="EH632" s="1">
        <v>3.4139281E-2</v>
      </c>
      <c r="EK632" s="1">
        <v>1.643067E-3</v>
      </c>
      <c r="EL632" s="1">
        <v>4.3815119999999997E-3</v>
      </c>
      <c r="EX632" s="1">
        <v>2.190756E-2</v>
      </c>
      <c r="FA632" s="1">
        <v>2.5558820000000002E-3</v>
      </c>
      <c r="FE632" s="1">
        <v>5.9698101000000003E-2</v>
      </c>
      <c r="FI632" s="1">
        <v>4.0163860000000003E-3</v>
      </c>
      <c r="FJ632" s="1">
        <v>1.460504E-2</v>
      </c>
      <c r="FM632" s="1">
        <v>0.116657757</v>
      </c>
    </row>
    <row r="633" spans="1:169" x14ac:dyDescent="0.2">
      <c r="A633" s="1" t="s">
        <v>4227</v>
      </c>
      <c r="B633" s="1" t="s">
        <v>55</v>
      </c>
      <c r="C633" s="1" t="s">
        <v>4218</v>
      </c>
      <c r="E633" s="1">
        <v>37</v>
      </c>
      <c r="F633" s="1" t="s">
        <v>4219</v>
      </c>
      <c r="G633" s="1" t="s">
        <v>4220</v>
      </c>
      <c r="H633" s="1" t="s">
        <v>4228</v>
      </c>
      <c r="I633" s="1" t="s">
        <v>11</v>
      </c>
      <c r="J633" s="1" t="s">
        <v>4222</v>
      </c>
      <c r="K633" s="1" t="s">
        <v>4223</v>
      </c>
      <c r="L633" s="1" t="s">
        <v>4222</v>
      </c>
      <c r="M633" s="1" t="s">
        <v>758</v>
      </c>
      <c r="N633" s="1" t="s">
        <v>4224</v>
      </c>
      <c r="P633" s="1" t="s">
        <v>4225</v>
      </c>
      <c r="Q633" s="1">
        <v>2004</v>
      </c>
      <c r="R633" s="1" t="s">
        <v>4226</v>
      </c>
      <c r="S633" s="1" t="s">
        <v>27</v>
      </c>
      <c r="T633" s="6">
        <v>1</v>
      </c>
      <c r="U633" s="1">
        <v>57.12</v>
      </c>
      <c r="V633" s="1">
        <v>14.23</v>
      </c>
      <c r="Y633" s="1">
        <v>2.8959565949999999</v>
      </c>
      <c r="Z633" s="1">
        <v>7.9077345389999998</v>
      </c>
      <c r="AA633" s="1">
        <v>2.1289549390000002</v>
      </c>
      <c r="AD633" s="1">
        <v>0.92295080815179198</v>
      </c>
      <c r="AF633" s="1">
        <v>0.90359099200000004</v>
      </c>
      <c r="AG633" s="1">
        <v>1.225363947</v>
      </c>
      <c r="AU633" s="1">
        <v>1.3133590000000001E-2</v>
      </c>
      <c r="AW633" s="1">
        <v>0.18781033699999999</v>
      </c>
      <c r="AY633" s="1">
        <v>2.4953821000000001E-2</v>
      </c>
      <c r="BA633" s="1">
        <v>2.1985629659999999</v>
      </c>
      <c r="BD633" s="1">
        <v>1.5760308000000001E-2</v>
      </c>
      <c r="BG633" s="1">
        <v>0.41108136699999998</v>
      </c>
      <c r="BI633" s="1">
        <v>3.5460693000000001E-2</v>
      </c>
      <c r="BM633" s="1">
        <v>1.0506872E-2</v>
      </c>
      <c r="BS633" s="1">
        <v>3.1520616000000001E-2</v>
      </c>
      <c r="BX633" s="1">
        <v>8.2741617000000003E-2</v>
      </c>
      <c r="BZ633" s="1">
        <v>0.49776306100000001</v>
      </c>
      <c r="CF633" s="1">
        <v>7.8801540000000003E-3</v>
      </c>
      <c r="CK633" s="1">
        <v>6.6718637200000002</v>
      </c>
      <c r="CM633" s="1">
        <v>0.387440905</v>
      </c>
      <c r="CQ633" s="1">
        <v>5.6474437000000002E-2</v>
      </c>
      <c r="CV633" s="1">
        <v>0.12214238700000001</v>
      </c>
      <c r="DB633" s="1">
        <v>3.6774052000000002E-2</v>
      </c>
      <c r="DE633" s="1">
        <v>1.1820231E-2</v>
      </c>
      <c r="DN633" s="1">
        <v>0.94824519799999996</v>
      </c>
      <c r="DT633" s="1">
        <v>3.8087411000000002E-2</v>
      </c>
      <c r="DW633" s="1">
        <v>1.8387026000000001E-2</v>
      </c>
      <c r="ED633" s="1">
        <v>1.7073667000000001E-2</v>
      </c>
      <c r="EH633" s="1">
        <v>0.282372185</v>
      </c>
      <c r="EK633" s="1">
        <v>9.1935130000000004E-3</v>
      </c>
      <c r="EL633" s="1">
        <v>5.2534360000000002E-3</v>
      </c>
      <c r="EX633" s="1">
        <v>0.16810995200000001</v>
      </c>
      <c r="FA633" s="1">
        <v>1.0506872E-2</v>
      </c>
      <c r="FE633" s="1">
        <v>0.22327103000000001</v>
      </c>
      <c r="FI633" s="1">
        <v>1.5760308000000001E-2</v>
      </c>
      <c r="FJ633" s="1">
        <v>6.4354591000000003E-2</v>
      </c>
      <c r="FM633" s="1">
        <v>0.32833974999999999</v>
      </c>
    </row>
    <row r="634" spans="1:169" x14ac:dyDescent="0.2">
      <c r="A634" s="1" t="s">
        <v>4229</v>
      </c>
      <c r="B634" s="1" t="s">
        <v>55</v>
      </c>
      <c r="C634" s="1" t="s">
        <v>4218</v>
      </c>
      <c r="E634" s="1">
        <v>35</v>
      </c>
      <c r="F634" s="1" t="s">
        <v>1741</v>
      </c>
      <c r="G634" s="1" t="s">
        <v>4230</v>
      </c>
      <c r="H634" s="1" t="s">
        <v>4231</v>
      </c>
      <c r="I634" s="1" t="s">
        <v>7</v>
      </c>
      <c r="J634" s="1" t="s">
        <v>1743</v>
      </c>
      <c r="K634" s="1" t="s">
        <v>1744</v>
      </c>
      <c r="L634" s="1" t="s">
        <v>1743</v>
      </c>
      <c r="M634" s="1" t="s">
        <v>749</v>
      </c>
      <c r="N634" s="1" t="s">
        <v>4232</v>
      </c>
      <c r="P634" s="1" t="s">
        <v>4225</v>
      </c>
      <c r="Q634" s="1">
        <v>2004</v>
      </c>
      <c r="R634" s="1" t="s">
        <v>4226</v>
      </c>
      <c r="S634" s="1" t="s">
        <v>27</v>
      </c>
      <c r="T634" s="6">
        <v>1</v>
      </c>
      <c r="U634" s="1">
        <v>74.53</v>
      </c>
      <c r="V634" s="1">
        <v>2.0699999999999998</v>
      </c>
      <c r="Y634" s="1">
        <v>0.72301373300000005</v>
      </c>
      <c r="Z634" s="1">
        <v>0.50823770199999996</v>
      </c>
      <c r="AA634" s="1">
        <v>0.52522664699999999</v>
      </c>
      <c r="AD634" s="1">
        <v>0.86391787439613499</v>
      </c>
      <c r="AF634" s="1">
        <v>0.453515416</v>
      </c>
      <c r="AG634" s="1">
        <v>7.1711231E-2</v>
      </c>
      <c r="AU634" s="1">
        <v>3.2189580000000001E-3</v>
      </c>
      <c r="AW634" s="1">
        <v>0.18258645100000001</v>
      </c>
      <c r="AY634" s="1">
        <v>2.4499847000000002E-2</v>
      </c>
      <c r="BA634" s="1">
        <v>0.42061051199999999</v>
      </c>
      <c r="BD634" s="1">
        <v>1.7525438000000001E-2</v>
      </c>
      <c r="BG634" s="1">
        <v>6.0266047000000003E-2</v>
      </c>
      <c r="BI634" s="1">
        <v>7.1532399999999999E-3</v>
      </c>
      <c r="BM634" s="1">
        <v>7.1532399999999999E-3</v>
      </c>
      <c r="BS634" s="1">
        <v>7.6897329999999998E-3</v>
      </c>
      <c r="BX634" s="1">
        <v>7.3320709999999999E-3</v>
      </c>
      <c r="BZ634" s="1">
        <v>0.181692296</v>
      </c>
      <c r="CF634" s="1">
        <v>1.8598423999999999E-2</v>
      </c>
      <c r="CK634" s="1">
        <v>0.12750650299999999</v>
      </c>
      <c r="CM634" s="1">
        <v>5.0609173E-2</v>
      </c>
      <c r="CQ634" s="1">
        <v>5.5437610000000003E-3</v>
      </c>
      <c r="CV634" s="1">
        <v>8.9415499999999995E-2</v>
      </c>
      <c r="DB634" s="1">
        <v>1.2339339E-2</v>
      </c>
      <c r="DE634" s="1">
        <v>7.5109019999999999E-3</v>
      </c>
      <c r="DN634" s="1">
        <v>2.861296E-2</v>
      </c>
      <c r="DT634" s="1">
        <v>3.2189580000000001E-3</v>
      </c>
      <c r="DW634" s="1">
        <v>4.8284369999999997E-3</v>
      </c>
      <c r="ED634" s="1">
        <v>2.1459719999999999E-3</v>
      </c>
      <c r="EH634" s="1">
        <v>1.4842973000000001E-2</v>
      </c>
      <c r="EK634" s="1">
        <v>1.609479E-3</v>
      </c>
      <c r="EL634" s="1">
        <v>3.2189580000000001E-3</v>
      </c>
      <c r="EX634" s="1">
        <v>1.3233494E-2</v>
      </c>
      <c r="FA634" s="1">
        <v>1.1087522000000001E-2</v>
      </c>
      <c r="FE634" s="1">
        <v>0.14717791299999999</v>
      </c>
      <c r="FI634" s="1">
        <v>6.6167470000000001E-3</v>
      </c>
      <c r="FJ634" s="1">
        <v>1.6273620999999999E-2</v>
      </c>
      <c r="FM634" s="1">
        <v>0.27218078200000001</v>
      </c>
    </row>
    <row r="635" spans="1:169" x14ac:dyDescent="0.2">
      <c r="A635" s="1" t="s">
        <v>4233</v>
      </c>
      <c r="B635" s="1" t="s">
        <v>55</v>
      </c>
      <c r="C635" s="1" t="s">
        <v>4218</v>
      </c>
      <c r="E635" s="1">
        <v>35</v>
      </c>
      <c r="F635" s="1" t="s">
        <v>1741</v>
      </c>
      <c r="G635" s="1" t="s">
        <v>4230</v>
      </c>
      <c r="H635" s="1" t="s">
        <v>4234</v>
      </c>
      <c r="I635" s="1" t="s">
        <v>11</v>
      </c>
      <c r="J635" s="1" t="s">
        <v>1743</v>
      </c>
      <c r="K635" s="1" t="s">
        <v>1744</v>
      </c>
      <c r="L635" s="1" t="s">
        <v>1743</v>
      </c>
      <c r="M635" s="1" t="s">
        <v>749</v>
      </c>
      <c r="N635" s="1" t="s">
        <v>4232</v>
      </c>
      <c r="P635" s="1" t="s">
        <v>4225</v>
      </c>
      <c r="Q635" s="1">
        <v>2004</v>
      </c>
      <c r="R635" s="1" t="s">
        <v>4226</v>
      </c>
      <c r="S635" s="1" t="s">
        <v>27</v>
      </c>
      <c r="T635" s="6">
        <v>1</v>
      </c>
      <c r="U635" s="1">
        <v>49.38</v>
      </c>
      <c r="V635" s="1">
        <v>18.28</v>
      </c>
      <c r="Y635" s="1">
        <v>3.3418586239999999</v>
      </c>
      <c r="Z635" s="1">
        <v>10.842437064</v>
      </c>
      <c r="AA635" s="1">
        <v>2.4387450080000002</v>
      </c>
      <c r="AD635" s="1">
        <v>0.92517724288840297</v>
      </c>
      <c r="AF635" s="1">
        <v>1.241358416</v>
      </c>
      <c r="AG635" s="1">
        <v>1.197386592</v>
      </c>
      <c r="AU635" s="1">
        <v>8.4561199999999993E-3</v>
      </c>
      <c r="AW635" s="1">
        <v>0.30272909599999998</v>
      </c>
      <c r="AY635" s="1">
        <v>3.8898151999999998E-2</v>
      </c>
      <c r="BA635" s="1">
        <v>2.55374824</v>
      </c>
      <c r="BD635" s="1">
        <v>2.8750807999999999E-2</v>
      </c>
      <c r="BG635" s="1">
        <v>0.36530438399999998</v>
      </c>
      <c r="BI635" s="1">
        <v>3.2133255999999999E-2</v>
      </c>
      <c r="BM635" s="1">
        <v>1.1838568000000001E-2</v>
      </c>
      <c r="BS635" s="1">
        <v>1.0147344000000001E-2</v>
      </c>
      <c r="BX635" s="1">
        <v>5.0736719999999999E-2</v>
      </c>
      <c r="BZ635" s="1">
        <v>0.49552863200000002</v>
      </c>
      <c r="CF635" s="1">
        <v>2.0294688000000002E-2</v>
      </c>
      <c r="CK635" s="1">
        <v>9.5148262240000001</v>
      </c>
      <c r="CM635" s="1">
        <v>0.23677135999999999</v>
      </c>
      <c r="CQ635" s="1">
        <v>0.23677135999999999</v>
      </c>
      <c r="CV635" s="1">
        <v>0.165739952</v>
      </c>
      <c r="DB635" s="1">
        <v>0.10147344</v>
      </c>
      <c r="DE635" s="1">
        <v>8.4561199999999993E-3</v>
      </c>
      <c r="DN635" s="1">
        <v>1.0891482560000001</v>
      </c>
      <c r="DT635" s="1">
        <v>1.6912239999999999E-2</v>
      </c>
      <c r="DW635" s="1">
        <v>1.5221016E-2</v>
      </c>
      <c r="ED635" s="1">
        <v>1.6912239999999999E-2</v>
      </c>
      <c r="EH635" s="1">
        <v>0.16743117599999999</v>
      </c>
      <c r="EK635" s="1" t="s">
        <v>15</v>
      </c>
      <c r="EL635" s="1" t="s">
        <v>15</v>
      </c>
      <c r="EX635" s="1">
        <v>3.2133255999999999E-2</v>
      </c>
      <c r="FA635" s="1">
        <v>1.3529792000000001E-2</v>
      </c>
      <c r="FE635" s="1">
        <v>0.34500969599999998</v>
      </c>
      <c r="FI635" s="1">
        <v>1.3529792000000001E-2</v>
      </c>
      <c r="FJ635" s="1">
        <v>2.3677136000000001E-2</v>
      </c>
      <c r="FM635" s="1">
        <v>0.70524040799999999</v>
      </c>
    </row>
    <row r="636" spans="1:169" x14ac:dyDescent="0.2">
      <c r="A636" s="1" t="s">
        <v>4235</v>
      </c>
      <c r="B636" s="1" t="s">
        <v>55</v>
      </c>
      <c r="C636" s="1" t="s">
        <v>4218</v>
      </c>
      <c r="E636" s="1">
        <v>33</v>
      </c>
      <c r="F636" s="1" t="s">
        <v>4236</v>
      </c>
      <c r="G636" s="1" t="s">
        <v>4237</v>
      </c>
      <c r="H636" s="1" t="s">
        <v>4238</v>
      </c>
      <c r="I636" s="1" t="s">
        <v>7</v>
      </c>
      <c r="J636" s="1" t="s">
        <v>4239</v>
      </c>
      <c r="K636" s="1" t="s">
        <v>4240</v>
      </c>
      <c r="L636" s="1" t="s">
        <v>4239</v>
      </c>
      <c r="M636" s="1" t="s">
        <v>758</v>
      </c>
      <c r="N636" s="1" t="s">
        <v>4241</v>
      </c>
      <c r="P636" s="1" t="s">
        <v>4225</v>
      </c>
      <c r="Q636" s="1">
        <v>2004</v>
      </c>
      <c r="R636" s="1" t="s">
        <v>4226</v>
      </c>
      <c r="S636" s="1" t="s">
        <v>27</v>
      </c>
      <c r="T636" s="6">
        <v>1</v>
      </c>
      <c r="U636" s="1">
        <v>78.790000000000006</v>
      </c>
      <c r="V636" s="1">
        <v>1.31</v>
      </c>
      <c r="Y636" s="1">
        <v>0.48867534400000001</v>
      </c>
      <c r="Z636" s="1">
        <v>0.31848077299999999</v>
      </c>
      <c r="AA636" s="1">
        <v>0.24498521000000001</v>
      </c>
      <c r="AD636" s="1">
        <v>0.82383969465648899</v>
      </c>
      <c r="AF636" s="1">
        <v>0.19847039699999999</v>
      </c>
      <c r="AG636" s="1">
        <v>4.6514813000000002E-2</v>
      </c>
      <c r="AU636" s="1">
        <v>2.0505369999999998E-3</v>
      </c>
      <c r="AW636" s="1">
        <v>0.105440771</v>
      </c>
      <c r="AY636" s="1">
        <v>2.5901520000000001E-2</v>
      </c>
      <c r="BA636" s="1">
        <v>0.27541949599999999</v>
      </c>
      <c r="BD636" s="1">
        <v>1.2626991000000001E-2</v>
      </c>
      <c r="BG636" s="1">
        <v>5.9897264999999998E-2</v>
      </c>
      <c r="BI636" s="1">
        <v>4.3169200000000001E-3</v>
      </c>
      <c r="BM636" s="1">
        <v>3.0218440000000001E-3</v>
      </c>
      <c r="BS636" s="1">
        <v>2.0505369999999998E-3</v>
      </c>
      <c r="BX636" s="1">
        <v>6.2595339999999998E-3</v>
      </c>
      <c r="BZ636" s="1">
        <v>6.8962797000000006E-2</v>
      </c>
      <c r="CF636" s="1">
        <v>2.4822289999999999E-3</v>
      </c>
      <c r="CK636" s="1">
        <v>0.16717272699999999</v>
      </c>
      <c r="CM636" s="1">
        <v>3.0434286000000001E-2</v>
      </c>
      <c r="CQ636" s="1">
        <v>6.1516110000000004E-3</v>
      </c>
      <c r="CV636" s="1">
        <v>2.4714367000000001E-2</v>
      </c>
      <c r="DB636" s="1">
        <v>7.0149950000000004E-3</v>
      </c>
      <c r="DE636" s="1">
        <v>3.1297669999999999E-3</v>
      </c>
      <c r="DN636" s="1">
        <v>1.9318216999999999E-2</v>
      </c>
      <c r="DT636" s="1">
        <v>3.3456129999999999E-3</v>
      </c>
      <c r="DW636" s="1">
        <v>1.510922E-3</v>
      </c>
      <c r="ED636" s="1">
        <v>1.402999E-3</v>
      </c>
      <c r="EH636" s="1">
        <v>9.0655319999999994E-3</v>
      </c>
      <c r="EK636" s="1">
        <v>1.295076E-3</v>
      </c>
      <c r="EL636" s="1">
        <v>2.1584600000000001E-3</v>
      </c>
      <c r="EX636" s="1">
        <v>1.1439838000000001E-2</v>
      </c>
      <c r="FA636" s="1">
        <v>3.1297669999999999E-3</v>
      </c>
      <c r="FE636" s="1">
        <v>6.5725107000000005E-2</v>
      </c>
      <c r="FI636" s="1">
        <v>5.1803040000000002E-3</v>
      </c>
      <c r="FJ636" s="1">
        <v>8.5259169999999992E-3</v>
      </c>
      <c r="FM636" s="1">
        <v>0.113103304</v>
      </c>
    </row>
    <row r="637" spans="1:169" x14ac:dyDescent="0.2">
      <c r="A637" s="1" t="s">
        <v>4242</v>
      </c>
      <c r="B637" s="1" t="s">
        <v>55</v>
      </c>
      <c r="C637" s="1" t="s">
        <v>4218</v>
      </c>
      <c r="E637" s="1">
        <v>33</v>
      </c>
      <c r="F637" s="1" t="s">
        <v>4236</v>
      </c>
      <c r="G637" s="1" t="s">
        <v>4237</v>
      </c>
      <c r="H637" s="1" t="s">
        <v>4243</v>
      </c>
      <c r="I637" s="1" t="s">
        <v>11</v>
      </c>
      <c r="J637" s="1" t="s">
        <v>4239</v>
      </c>
      <c r="K637" s="1" t="s">
        <v>4240</v>
      </c>
      <c r="L637" s="1" t="s">
        <v>4239</v>
      </c>
      <c r="M637" s="1" t="s">
        <v>758</v>
      </c>
      <c r="N637" s="1" t="s">
        <v>4241</v>
      </c>
      <c r="P637" s="1" t="s">
        <v>4225</v>
      </c>
      <c r="Q637" s="1">
        <v>2004</v>
      </c>
      <c r="R637" s="1" t="s">
        <v>4226</v>
      </c>
      <c r="S637" s="1" t="s">
        <v>27</v>
      </c>
      <c r="T637" s="6">
        <v>1</v>
      </c>
      <c r="U637" s="1">
        <v>64.83</v>
      </c>
      <c r="V637" s="1">
        <v>8.59</v>
      </c>
      <c r="Y637" s="1">
        <v>1.6915789029999999</v>
      </c>
      <c r="Z637" s="1">
        <v>4.6000870679999997</v>
      </c>
      <c r="AA637" s="1">
        <v>1.4821978010000001</v>
      </c>
      <c r="AD637" s="1">
        <v>0.91635273573923204</v>
      </c>
      <c r="AF637" s="1">
        <v>0.79974135199999996</v>
      </c>
      <c r="AG637" s="1">
        <v>0.68245644900000002</v>
      </c>
      <c r="AU637" s="1">
        <v>3.9357350000000001E-3</v>
      </c>
      <c r="AW637" s="1">
        <v>0.1574294</v>
      </c>
      <c r="AY637" s="1">
        <v>4.0144497000000001E-2</v>
      </c>
      <c r="BA637" s="1">
        <v>1.1885919700000001</v>
      </c>
      <c r="BD637" s="1">
        <v>4.1718790999999998E-2</v>
      </c>
      <c r="BG637" s="1">
        <v>0.2361441</v>
      </c>
      <c r="BI637" s="1">
        <v>1.1807204999999999E-2</v>
      </c>
      <c r="BM637" s="1">
        <v>1.1020057999999999E-2</v>
      </c>
      <c r="BS637" s="1" t="s">
        <v>15</v>
      </c>
      <c r="BX637" s="1">
        <v>2.6762998E-2</v>
      </c>
      <c r="BZ637" s="1">
        <v>0.18734098599999999</v>
      </c>
      <c r="CF637" s="1" t="s">
        <v>15</v>
      </c>
      <c r="CK637" s="1">
        <v>4.0238954639999998</v>
      </c>
      <c r="CM637" s="1">
        <v>0.18104381</v>
      </c>
      <c r="CQ637" s="1">
        <v>7.0056083000000005E-2</v>
      </c>
      <c r="CV637" s="1">
        <v>8.1863288000000006E-2</v>
      </c>
      <c r="DB637" s="1">
        <v>2.2040115999999998E-2</v>
      </c>
      <c r="DE637" s="1">
        <v>6.2971759999999998E-3</v>
      </c>
      <c r="DN637" s="1">
        <v>0.53998284200000002</v>
      </c>
      <c r="DT637" s="1">
        <v>4.0931644000000003E-2</v>
      </c>
      <c r="DW637" s="1">
        <v>1.8891528000000001E-2</v>
      </c>
      <c r="ED637" s="1">
        <v>1.0232911000000001E-2</v>
      </c>
      <c r="EH637" s="1">
        <v>8.5011876E-2</v>
      </c>
      <c r="EK637" s="1">
        <v>4.7228820000000003E-3</v>
      </c>
      <c r="EL637" s="1" t="s">
        <v>15</v>
      </c>
      <c r="EX637" s="1">
        <v>3.8570202999999997E-2</v>
      </c>
      <c r="FA637" s="1">
        <v>6.2971759999999998E-3</v>
      </c>
      <c r="FE637" s="1">
        <v>0.14326075399999999</v>
      </c>
      <c r="FI637" s="1">
        <v>2.2827263E-2</v>
      </c>
      <c r="FJ637" s="1">
        <v>4.5654526000000001E-2</v>
      </c>
      <c r="FM637" s="1">
        <v>0.52581419600000001</v>
      </c>
    </row>
    <row r="638" spans="1:169" x14ac:dyDescent="0.2">
      <c r="A638" s="1" t="s">
        <v>4244</v>
      </c>
      <c r="B638" s="1" t="s">
        <v>55</v>
      </c>
      <c r="C638" s="1" t="s">
        <v>4218</v>
      </c>
      <c r="E638" s="1">
        <v>33</v>
      </c>
      <c r="F638" s="1" t="s">
        <v>4245</v>
      </c>
      <c r="G638" s="1" t="s">
        <v>4246</v>
      </c>
      <c r="H638" s="1" t="s">
        <v>4247</v>
      </c>
      <c r="I638" s="1" t="s">
        <v>7</v>
      </c>
      <c r="J638" s="1" t="s">
        <v>4248</v>
      </c>
      <c r="K638" s="1" t="s">
        <v>4249</v>
      </c>
      <c r="L638" s="1" t="s">
        <v>4248</v>
      </c>
      <c r="M638" s="1" t="s">
        <v>749</v>
      </c>
      <c r="N638" s="1" t="s">
        <v>4250</v>
      </c>
      <c r="P638" s="1" t="s">
        <v>4225</v>
      </c>
      <c r="Q638" s="1">
        <v>2004</v>
      </c>
      <c r="R638" s="1" t="s">
        <v>4226</v>
      </c>
      <c r="S638" s="1" t="s">
        <v>27</v>
      </c>
      <c r="T638" s="6">
        <v>1</v>
      </c>
      <c r="U638" s="1">
        <v>79.709999999999994</v>
      </c>
      <c r="V638" s="1">
        <v>3.52</v>
      </c>
      <c r="Y638" s="1">
        <v>1.2492393319999999</v>
      </c>
      <c r="Z638" s="1">
        <v>1.3312236079999999</v>
      </c>
      <c r="AA638" s="1">
        <v>0.49253388799999998</v>
      </c>
      <c r="AD638" s="1">
        <v>0.89237500000000003</v>
      </c>
      <c r="AF638" s="1">
        <v>0.34427113599999998</v>
      </c>
      <c r="AG638" s="1">
        <v>0.148576868</v>
      </c>
      <c r="AU638" s="1">
        <v>1.4449336E-2</v>
      </c>
      <c r="AW638" s="1">
        <v>0.181559048</v>
      </c>
      <c r="AY638" s="1">
        <v>6.3765548000000005E-2</v>
      </c>
      <c r="BA638" s="1">
        <v>0.778693564</v>
      </c>
      <c r="BD638" s="1">
        <v>4.1777427999999998E-2</v>
      </c>
      <c r="BG638" s="1">
        <v>0.13821104000000001</v>
      </c>
      <c r="BI638" s="1">
        <v>5.6540879999999998E-3</v>
      </c>
      <c r="BM638" s="1">
        <v>2.5443396E-2</v>
      </c>
      <c r="BS638" s="1">
        <v>1.6648148000000002E-2</v>
      </c>
      <c r="BX638" s="1">
        <v>3.4238643999999999E-2</v>
      </c>
      <c r="BZ638" s="1">
        <v>0.437563588</v>
      </c>
      <c r="CF638" s="1">
        <v>1.2250524E-2</v>
      </c>
      <c r="CK638" s="1">
        <v>0.57012054000000001</v>
      </c>
      <c r="CM638" s="1">
        <v>0.16082739200000001</v>
      </c>
      <c r="CQ638" s="1">
        <v>4.1777427999999998E-2</v>
      </c>
      <c r="CV638" s="1">
        <v>4.4918588000000002E-2</v>
      </c>
      <c r="DB638" s="1">
        <v>9.7375959999999994E-3</v>
      </c>
      <c r="DE638" s="1">
        <v>3.14116E-3</v>
      </c>
      <c r="DN638" s="1">
        <v>4.2091544000000002E-2</v>
      </c>
      <c r="DT638" s="1">
        <v>1.1936408000000001E-2</v>
      </c>
      <c r="DW638" s="1">
        <v>5.3399720000000001E-3</v>
      </c>
      <c r="ED638" s="1">
        <v>5.0258560000000004E-3</v>
      </c>
      <c r="EH638" s="1">
        <v>1.2878756E-2</v>
      </c>
      <c r="EK638" s="1">
        <v>4.0835079999999996E-3</v>
      </c>
      <c r="EL638" s="1">
        <v>9.109364E-3</v>
      </c>
      <c r="EX638" s="1">
        <v>6.2509084000000006E-2</v>
      </c>
      <c r="FA638" s="1">
        <v>6.2823200000000001E-3</v>
      </c>
      <c r="FE638" s="1">
        <v>0.140723968</v>
      </c>
      <c r="FI638" s="1">
        <v>1.1622291999999999E-2</v>
      </c>
      <c r="FJ638" s="1">
        <v>3.9892732E-2</v>
      </c>
      <c r="FM638" s="1">
        <v>0.14166631599999999</v>
      </c>
    </row>
    <row r="639" spans="1:169" x14ac:dyDescent="0.2">
      <c r="A639" s="1" t="s">
        <v>4251</v>
      </c>
      <c r="B639" s="1" t="s">
        <v>55</v>
      </c>
      <c r="C639" s="1" t="s">
        <v>4218</v>
      </c>
      <c r="E639" s="1">
        <v>33</v>
      </c>
      <c r="F639" s="1" t="s">
        <v>4245</v>
      </c>
      <c r="G639" s="1" t="s">
        <v>4246</v>
      </c>
      <c r="H639" s="1" t="s">
        <v>4252</v>
      </c>
      <c r="I639" s="1" t="s">
        <v>11</v>
      </c>
      <c r="J639" s="1" t="s">
        <v>4248</v>
      </c>
      <c r="K639" s="1" t="s">
        <v>4249</v>
      </c>
      <c r="L639" s="1" t="s">
        <v>4248</v>
      </c>
      <c r="M639" s="1" t="s">
        <v>749</v>
      </c>
      <c r="N639" s="1" t="s">
        <v>4250</v>
      </c>
      <c r="P639" s="1" t="s">
        <v>4225</v>
      </c>
      <c r="Q639" s="1">
        <v>2004</v>
      </c>
      <c r="R639" s="1" t="s">
        <v>4226</v>
      </c>
      <c r="S639" s="1" t="s">
        <v>27</v>
      </c>
      <c r="T639" s="6">
        <v>1</v>
      </c>
      <c r="U639" s="1">
        <v>59.86</v>
      </c>
      <c r="V639" s="1">
        <v>12.05</v>
      </c>
      <c r="Y639" s="1">
        <v>2.716084355</v>
      </c>
      <c r="Z639" s="1">
        <v>6.5010650050000001</v>
      </c>
      <c r="AA639" s="1">
        <v>1.65384785</v>
      </c>
      <c r="AD639" s="1">
        <v>0.92113278008298805</v>
      </c>
      <c r="AF639" s="1">
        <v>0.74145662000000001</v>
      </c>
      <c r="AG639" s="1">
        <v>0.91239123</v>
      </c>
      <c r="AU639" s="1">
        <v>1.3319579999999999E-2</v>
      </c>
      <c r="AW639" s="1">
        <v>0.20201363</v>
      </c>
      <c r="AY639" s="1">
        <v>6.6597900000000002E-2</v>
      </c>
      <c r="BA639" s="1">
        <v>1.994607105</v>
      </c>
      <c r="BD639" s="1">
        <v>4.2178670000000001E-2</v>
      </c>
      <c r="BG639" s="1">
        <v>0.32299981500000002</v>
      </c>
      <c r="BI639" s="1">
        <v>2.441923E-2</v>
      </c>
      <c r="BM639" s="1">
        <v>4.9948424999999998E-2</v>
      </c>
      <c r="BS639" s="1">
        <v>6.6597899999999996E-3</v>
      </c>
      <c r="BX639" s="1">
        <v>5.3278319999999997E-2</v>
      </c>
      <c r="BZ639" s="1">
        <v>0.52612340999999996</v>
      </c>
      <c r="CF639" s="1">
        <v>1.2209615E-2</v>
      </c>
      <c r="CK639" s="1">
        <v>5.6119830400000001</v>
      </c>
      <c r="CM639" s="1">
        <v>0.19757377000000001</v>
      </c>
      <c r="CV639" s="1">
        <v>6.3268005000000002E-2</v>
      </c>
      <c r="DB639" s="1">
        <v>2.9969055000000001E-2</v>
      </c>
      <c r="DN639" s="1">
        <v>0.72036728500000002</v>
      </c>
      <c r="DT639" s="1">
        <v>1.1099650000000001E-2</v>
      </c>
      <c r="DW639" s="1">
        <v>1.3319579999999999E-2</v>
      </c>
      <c r="ED639" s="1">
        <v>5.5498250000000004E-3</v>
      </c>
      <c r="EH639" s="1">
        <v>0.10988653499999999</v>
      </c>
      <c r="EK639" s="1">
        <v>5.5498250000000004E-3</v>
      </c>
      <c r="EL639" s="1">
        <v>5.5498250000000004E-3</v>
      </c>
      <c r="EX639" s="1">
        <v>0.11987622000000001</v>
      </c>
      <c r="FA639" s="1">
        <v>8.8797200000000007E-3</v>
      </c>
      <c r="FE639" s="1">
        <v>0.29747062000000002</v>
      </c>
      <c r="FI639" s="1">
        <v>2.6639159999999999E-2</v>
      </c>
      <c r="FJ639" s="1">
        <v>7.8807514999999995E-2</v>
      </c>
      <c r="FM639" s="1">
        <v>0.24974212500000001</v>
      </c>
    </row>
    <row r="640" spans="1:169" x14ac:dyDescent="0.2">
      <c r="A640" s="1" t="s">
        <v>4253</v>
      </c>
      <c r="B640" s="1" t="s">
        <v>55</v>
      </c>
      <c r="C640" s="1" t="s">
        <v>4218</v>
      </c>
      <c r="E640" s="1">
        <v>33</v>
      </c>
      <c r="F640" s="1" t="s">
        <v>4254</v>
      </c>
      <c r="G640" s="1" t="s">
        <v>4255</v>
      </c>
      <c r="H640" s="1" t="s">
        <v>4256</v>
      </c>
      <c r="I640" s="1" t="s">
        <v>7</v>
      </c>
      <c r="J640" s="1" t="s">
        <v>4257</v>
      </c>
      <c r="K640" s="1" t="s">
        <v>4258</v>
      </c>
      <c r="L640" s="1" t="s">
        <v>4257</v>
      </c>
      <c r="M640" s="1" t="s">
        <v>758</v>
      </c>
      <c r="N640" s="1" t="s">
        <v>4259</v>
      </c>
      <c r="P640" s="1" t="s">
        <v>4225</v>
      </c>
      <c r="Q640" s="1">
        <v>2004</v>
      </c>
      <c r="R640" s="1" t="s">
        <v>4226</v>
      </c>
      <c r="S640" s="1" t="s">
        <v>27</v>
      </c>
      <c r="T640" s="6">
        <v>1</v>
      </c>
      <c r="U640" s="1">
        <v>71.180000000000007</v>
      </c>
      <c r="V640" s="1">
        <v>3.87</v>
      </c>
      <c r="Y640" s="1">
        <v>1.62635599</v>
      </c>
      <c r="Z640" s="1">
        <v>1.0576515500000001</v>
      </c>
      <c r="AA640" s="1">
        <v>0.70706606900000002</v>
      </c>
      <c r="AD640" s="1">
        <v>0.896049095607235</v>
      </c>
      <c r="AF640" s="1">
        <v>0.59089778400000004</v>
      </c>
      <c r="AG640" s="1">
        <v>0.116168285</v>
      </c>
      <c r="AU640" s="1">
        <v>4.8547939999999999E-3</v>
      </c>
      <c r="AW640" s="1">
        <v>0.26354596000000002</v>
      </c>
      <c r="AY640" s="1">
        <v>4.9241482000000003E-2</v>
      </c>
      <c r="BA640" s="1">
        <v>0.93003982200000002</v>
      </c>
      <c r="BD640" s="1">
        <v>0.26111856300000003</v>
      </c>
      <c r="BG640" s="1">
        <v>0.108886094</v>
      </c>
      <c r="BM640" s="1">
        <v>9.0160459999999998E-3</v>
      </c>
      <c r="BS640" s="1">
        <v>8.3225039999999997E-3</v>
      </c>
      <c r="BX640" s="1">
        <v>1.5951466000000001E-2</v>
      </c>
      <c r="BZ640" s="1">
        <v>0.33151307600000002</v>
      </c>
      <c r="CF640" s="1">
        <v>9.0160459999999998E-3</v>
      </c>
      <c r="CK640" s="1">
        <v>0.53229348499999996</v>
      </c>
      <c r="CM640" s="1">
        <v>0.108192552</v>
      </c>
      <c r="CQ640" s="1">
        <v>3.6410955000000002E-2</v>
      </c>
      <c r="DB640" s="1">
        <v>3.4677100000000001E-3</v>
      </c>
      <c r="DE640" s="1">
        <v>1.1443442999999999E-2</v>
      </c>
      <c r="DN640" s="1">
        <v>6.2765551000000003E-2</v>
      </c>
      <c r="DT640" s="1">
        <v>6.2418780000000002E-3</v>
      </c>
      <c r="DW640" s="1">
        <v>1.9072405000000001E-2</v>
      </c>
      <c r="EH640" s="1">
        <v>1.8378862999999999E-2</v>
      </c>
      <c r="EK640" s="1">
        <v>2.427397E-3</v>
      </c>
      <c r="EL640" s="1">
        <v>2.2540114999999999E-2</v>
      </c>
      <c r="EX640" s="1">
        <v>5.201565E-3</v>
      </c>
      <c r="FA640" s="1">
        <v>1.5604695E-2</v>
      </c>
      <c r="FE640" s="1">
        <v>0.148764759</v>
      </c>
      <c r="FI640" s="1">
        <v>4.8547939999999999E-3</v>
      </c>
      <c r="FJ640" s="1">
        <v>2.0459489000000001E-2</v>
      </c>
      <c r="FM640" s="1">
        <v>0.38075455800000002</v>
      </c>
    </row>
    <row r="641" spans="1:170" x14ac:dyDescent="0.2">
      <c r="A641" s="1" t="s">
        <v>4260</v>
      </c>
      <c r="B641" s="1" t="s">
        <v>55</v>
      </c>
      <c r="C641" s="1" t="s">
        <v>4218</v>
      </c>
      <c r="E641" s="1">
        <v>37</v>
      </c>
      <c r="F641" s="1" t="s">
        <v>1250</v>
      </c>
      <c r="G641" s="1" t="s">
        <v>4261</v>
      </c>
      <c r="H641" s="1" t="s">
        <v>4262</v>
      </c>
      <c r="I641" s="1" t="s">
        <v>7</v>
      </c>
      <c r="J641" s="1" t="s">
        <v>1252</v>
      </c>
      <c r="K641" s="1" t="s">
        <v>1253</v>
      </c>
      <c r="L641" s="1" t="s">
        <v>1252</v>
      </c>
      <c r="M641" s="1" t="s">
        <v>749</v>
      </c>
      <c r="N641" s="1" t="s">
        <v>4263</v>
      </c>
      <c r="P641" s="1" t="s">
        <v>4225</v>
      </c>
      <c r="Q641" s="1">
        <v>2004</v>
      </c>
      <c r="R641" s="1" t="s">
        <v>4226</v>
      </c>
      <c r="S641" s="1" t="s">
        <v>27</v>
      </c>
      <c r="T641" s="6">
        <v>1</v>
      </c>
      <c r="U641" s="1">
        <v>77.900000000000006</v>
      </c>
      <c r="V641" s="1">
        <v>3.81</v>
      </c>
      <c r="Y641" s="1">
        <v>1.1872820399999999</v>
      </c>
      <c r="Z641" s="1">
        <v>1.3196571640000001</v>
      </c>
      <c r="AA641" s="1">
        <v>0.85532071099999996</v>
      </c>
      <c r="AD641" s="1">
        <v>0.89546719160105004</v>
      </c>
      <c r="AF641" s="1">
        <v>0.77480388300000003</v>
      </c>
      <c r="AG641" s="1">
        <v>8.0175654999999998E-2</v>
      </c>
      <c r="AU641" s="1">
        <v>1.364692E-2</v>
      </c>
      <c r="AW641" s="1">
        <v>0.22176245</v>
      </c>
      <c r="AY641" s="1">
        <v>2.8658532E-2</v>
      </c>
      <c r="BA641" s="1">
        <v>0.68882828699999998</v>
      </c>
      <c r="BD641" s="1">
        <v>2.3882110000000002E-2</v>
      </c>
      <c r="BG641" s="1">
        <v>0.20197441599999999</v>
      </c>
      <c r="BM641" s="1">
        <v>8.8704979999999992E-3</v>
      </c>
      <c r="BS641" s="1">
        <v>9.8940169999999997E-3</v>
      </c>
      <c r="BX641" s="1">
        <v>1.6717477000000001E-2</v>
      </c>
      <c r="BZ641" s="1">
        <v>0.43294853700000002</v>
      </c>
      <c r="CF641" s="1">
        <v>2.3882110000000002E-2</v>
      </c>
      <c r="CK641" s="1">
        <v>0.59671157699999999</v>
      </c>
      <c r="CM641" s="1">
        <v>0.157963099</v>
      </c>
      <c r="CQ641" s="1">
        <v>2.3199764000000001E-2</v>
      </c>
      <c r="CV641" s="1">
        <v>4.3328971000000001E-2</v>
      </c>
      <c r="DB641" s="1">
        <v>1.1941055000000001E-2</v>
      </c>
      <c r="DE641" s="1">
        <v>3.41173E-3</v>
      </c>
      <c r="DN641" s="1">
        <v>3.1387916000000002E-2</v>
      </c>
      <c r="DT641" s="1">
        <v>8.5293250000000008E-3</v>
      </c>
      <c r="DW641" s="1">
        <v>3.41173E-3</v>
      </c>
      <c r="ED641" s="1">
        <v>3.41173E-3</v>
      </c>
      <c r="EH641" s="1">
        <v>1.1599882000000001E-2</v>
      </c>
      <c r="EK641" s="1">
        <v>2.7293840000000001E-3</v>
      </c>
      <c r="EL641" s="1">
        <v>4.7764219999999998E-3</v>
      </c>
      <c r="EX641" s="1">
        <v>1.7740995999999998E-2</v>
      </c>
      <c r="FA641" s="1">
        <v>8.1881520000000006E-3</v>
      </c>
      <c r="FE641" s="1">
        <v>0.23643288900000001</v>
      </c>
      <c r="FI641" s="1">
        <v>4.7764219999999998E-3</v>
      </c>
      <c r="FJ641" s="1">
        <v>3.3776127000000003E-2</v>
      </c>
      <c r="FM641" s="1">
        <v>0.48821856299999999</v>
      </c>
    </row>
    <row r="642" spans="1:170" x14ac:dyDescent="0.2">
      <c r="A642" s="1" t="s">
        <v>4264</v>
      </c>
      <c r="B642" s="1" t="s">
        <v>57</v>
      </c>
      <c r="C642" s="1" t="s">
        <v>4265</v>
      </c>
      <c r="D642" s="1" t="s">
        <v>2</v>
      </c>
      <c r="E642" s="1">
        <v>53</v>
      </c>
      <c r="F642" s="1" t="s">
        <v>3879</v>
      </c>
      <c r="H642" s="1" t="s">
        <v>4266</v>
      </c>
      <c r="I642" s="1" t="s">
        <v>7</v>
      </c>
      <c r="J642" s="1" t="s">
        <v>3881</v>
      </c>
      <c r="K642" s="1" t="s">
        <v>3882</v>
      </c>
      <c r="L642" s="1" t="s">
        <v>3881</v>
      </c>
      <c r="M642" s="1" t="s">
        <v>2890</v>
      </c>
      <c r="O642" s="1">
        <v>1</v>
      </c>
      <c r="P642" s="1" t="s">
        <v>4267</v>
      </c>
      <c r="Q642" s="1">
        <v>1999</v>
      </c>
      <c r="R642" s="1" t="s">
        <v>4268</v>
      </c>
      <c r="S642" s="1" t="s">
        <v>27</v>
      </c>
      <c r="T642" s="6">
        <v>1</v>
      </c>
      <c r="U642" s="1">
        <v>74.3</v>
      </c>
      <c r="V642" s="1">
        <v>2.1074000000000002</v>
      </c>
      <c r="AD642" s="1">
        <v>0.81554256429723804</v>
      </c>
      <c r="AW642" s="1">
        <v>7.3387396879999997E-2</v>
      </c>
      <c r="BA642" s="1">
        <v>0.25934796696000001</v>
      </c>
      <c r="BG642" s="1">
        <v>6.7887638799999997E-2</v>
      </c>
      <c r="CA642" s="1">
        <v>5.3966376160000003E-2</v>
      </c>
      <c r="CQ642" s="1">
        <v>0.22239646735999999</v>
      </c>
      <c r="CZ642" s="1">
        <v>3.6779632159999999E-2</v>
      </c>
      <c r="DR642" s="1">
        <v>3.0076802E-2</v>
      </c>
      <c r="EI642" s="1">
        <v>0.10724528256</v>
      </c>
      <c r="EV642" s="1">
        <v>7.1668722480000002E-2</v>
      </c>
      <c r="EZ642" s="1">
        <v>7.2528059680000007E-2</v>
      </c>
      <c r="FF642" s="1">
        <v>0.25556688327999999</v>
      </c>
      <c r="FN642" s="1">
        <v>0.22188086504000001</v>
      </c>
    </row>
    <row r="643" spans="1:170" x14ac:dyDescent="0.2">
      <c r="A643" s="1" t="s">
        <v>4269</v>
      </c>
      <c r="B643" s="1" t="s">
        <v>57</v>
      </c>
      <c r="C643" s="1" t="s">
        <v>4265</v>
      </c>
      <c r="D643" s="1" t="s">
        <v>2</v>
      </c>
      <c r="E643" s="1">
        <v>53</v>
      </c>
      <c r="F643" s="1" t="s">
        <v>3879</v>
      </c>
      <c r="H643" s="1" t="s">
        <v>4266</v>
      </c>
      <c r="I643" s="1" t="s">
        <v>7</v>
      </c>
      <c r="J643" s="1" t="s">
        <v>3881</v>
      </c>
      <c r="K643" s="1" t="s">
        <v>3882</v>
      </c>
      <c r="L643" s="1" t="s">
        <v>3881</v>
      </c>
      <c r="M643" s="1" t="s">
        <v>4270</v>
      </c>
      <c r="O643" s="1">
        <v>1</v>
      </c>
      <c r="P643" s="1" t="s">
        <v>4267</v>
      </c>
      <c r="Q643" s="1">
        <v>1999</v>
      </c>
      <c r="R643" s="1" t="s">
        <v>4268</v>
      </c>
      <c r="S643" s="1" t="s">
        <v>27</v>
      </c>
      <c r="T643" s="6">
        <v>1</v>
      </c>
      <c r="U643" s="1">
        <v>74.099999999999994</v>
      </c>
      <c r="V643" s="1">
        <v>2.0461</v>
      </c>
      <c r="AD643" s="1">
        <v>0.81133453887884299</v>
      </c>
      <c r="AW643" s="1">
        <v>5.5280384279999997E-2</v>
      </c>
      <c r="BA643" s="1">
        <v>0.25482099060000002</v>
      </c>
      <c r="BG643" s="1">
        <v>6.9058978559999998E-2</v>
      </c>
      <c r="CA643" s="1">
        <v>5.710646304E-2</v>
      </c>
      <c r="CQ643" s="1">
        <v>0.22178556576</v>
      </c>
      <c r="CZ643" s="1">
        <v>3.4363482119999997E-2</v>
      </c>
      <c r="DR643" s="1">
        <v>3.021330312E-2</v>
      </c>
      <c r="EI643" s="1">
        <v>0.10724062535999999</v>
      </c>
      <c r="EV643" s="1">
        <v>7.2213114600000003E-2</v>
      </c>
      <c r="EZ643" s="1">
        <v>9.7612210079999998E-2</v>
      </c>
      <c r="FF643" s="1">
        <v>0.25299491184</v>
      </c>
      <c r="FN643" s="1">
        <v>0.20169869939999999</v>
      </c>
    </row>
    <row r="644" spans="1:170" x14ac:dyDescent="0.2">
      <c r="A644" s="1" t="s">
        <v>4271</v>
      </c>
      <c r="B644" s="1" t="s">
        <v>57</v>
      </c>
      <c r="C644" s="1" t="s">
        <v>4265</v>
      </c>
      <c r="D644" s="1" t="s">
        <v>2</v>
      </c>
      <c r="E644" s="1">
        <v>53</v>
      </c>
      <c r="F644" s="1" t="s">
        <v>3879</v>
      </c>
      <c r="H644" s="1" t="s">
        <v>4266</v>
      </c>
      <c r="I644" s="1" t="s">
        <v>7</v>
      </c>
      <c r="J644" s="1" t="s">
        <v>3881</v>
      </c>
      <c r="K644" s="1" t="s">
        <v>3882</v>
      </c>
      <c r="L644" s="1" t="s">
        <v>3881</v>
      </c>
      <c r="M644" s="1" t="s">
        <v>749</v>
      </c>
      <c r="O644" s="1">
        <v>1</v>
      </c>
      <c r="P644" s="1" t="s">
        <v>4267</v>
      </c>
      <c r="Q644" s="1">
        <v>1999</v>
      </c>
      <c r="R644" s="1" t="s">
        <v>4268</v>
      </c>
      <c r="S644" s="1" t="s">
        <v>27</v>
      </c>
      <c r="T644" s="6">
        <v>1</v>
      </c>
      <c r="U644" s="1">
        <v>74</v>
      </c>
      <c r="V644" s="1">
        <v>2.1320000000000001</v>
      </c>
      <c r="AD644" s="1">
        <v>0.81716322701688504</v>
      </c>
      <c r="AW644" s="1">
        <v>6.9165022399999998E-2</v>
      </c>
      <c r="BA644" s="1">
        <v>0.28293198079999998</v>
      </c>
      <c r="BG644" s="1">
        <v>7.4391598399999995E-2</v>
      </c>
      <c r="CA644" s="1">
        <v>6.2022035199999999E-2</v>
      </c>
      <c r="CQ644" s="1">
        <v>0.21794821919999999</v>
      </c>
      <c r="CZ644" s="1">
        <v>3.6760251200000003E-2</v>
      </c>
      <c r="DR644" s="1">
        <v>3.3624305600000001E-2</v>
      </c>
      <c r="EI644" s="1">
        <v>0.1078416848</v>
      </c>
      <c r="EV644" s="1">
        <v>6.8642364799999994E-2</v>
      </c>
      <c r="EZ644" s="1">
        <v>8.6064284800000002E-2</v>
      </c>
      <c r="FF644" s="1">
        <v>0.25418581280000002</v>
      </c>
      <c r="FN644" s="1">
        <v>0.1989583264</v>
      </c>
    </row>
    <row r="645" spans="1:170" x14ac:dyDescent="0.2">
      <c r="A645" s="1" t="s">
        <v>4272</v>
      </c>
      <c r="B645" s="1" t="s">
        <v>57</v>
      </c>
      <c r="C645" s="1" t="s">
        <v>4265</v>
      </c>
      <c r="D645" s="1" t="s">
        <v>2</v>
      </c>
      <c r="E645" s="1">
        <v>53</v>
      </c>
      <c r="F645" s="1" t="s">
        <v>3879</v>
      </c>
      <c r="H645" s="1" t="s">
        <v>4266</v>
      </c>
      <c r="I645" s="1" t="s">
        <v>7</v>
      </c>
      <c r="J645" s="1" t="s">
        <v>3881</v>
      </c>
      <c r="K645" s="1" t="s">
        <v>3882</v>
      </c>
      <c r="L645" s="1" t="s">
        <v>3881</v>
      </c>
      <c r="M645" s="1" t="s">
        <v>758</v>
      </c>
      <c r="O645" s="1">
        <v>1</v>
      </c>
      <c r="P645" s="1" t="s">
        <v>4267</v>
      </c>
      <c r="Q645" s="1">
        <v>1999</v>
      </c>
      <c r="R645" s="1" t="s">
        <v>4268</v>
      </c>
      <c r="S645" s="1" t="s">
        <v>27</v>
      </c>
      <c r="T645" s="6">
        <v>1</v>
      </c>
      <c r="U645" s="1">
        <v>74.5</v>
      </c>
      <c r="V645" s="1">
        <v>2.0655000000000001</v>
      </c>
      <c r="AD645" s="1">
        <v>0.81269329460179096</v>
      </c>
      <c r="AW645" s="1">
        <v>7.6041395400000003E-2</v>
      </c>
      <c r="BA645" s="1">
        <v>0.28100065320000001</v>
      </c>
      <c r="BG645" s="1">
        <v>6.4962516600000006E-2</v>
      </c>
      <c r="CA645" s="1">
        <v>7.0669817800000007E-2</v>
      </c>
      <c r="CQ645" s="1">
        <v>0.19723761500000001</v>
      </c>
      <c r="CZ645" s="1">
        <v>3.1725880200000001E-2</v>
      </c>
      <c r="DR645" s="1">
        <v>2.3836375600000001E-2</v>
      </c>
      <c r="EI645" s="1">
        <v>9.6520535000000005E-2</v>
      </c>
      <c r="EV645" s="1">
        <v>6.89911998E-2</v>
      </c>
      <c r="EZ645" s="1">
        <v>8.7959583199999997E-2</v>
      </c>
      <c r="FF645" s="1">
        <v>0.230809975</v>
      </c>
      <c r="FN645" s="1">
        <v>0.1853194272</v>
      </c>
    </row>
    <row r="646" spans="1:170" x14ac:dyDescent="0.2">
      <c r="A646" s="1" t="s">
        <v>4273</v>
      </c>
      <c r="B646" s="1" t="s">
        <v>57</v>
      </c>
      <c r="C646" s="1" t="s">
        <v>4265</v>
      </c>
      <c r="D646" s="1" t="s">
        <v>2</v>
      </c>
      <c r="E646" s="1">
        <v>53</v>
      </c>
      <c r="F646" s="1" t="s">
        <v>3879</v>
      </c>
      <c r="H646" s="1" t="s">
        <v>4266</v>
      </c>
      <c r="I646" s="1" t="s">
        <v>7</v>
      </c>
      <c r="J646" s="1" t="s">
        <v>3881</v>
      </c>
      <c r="K646" s="1" t="s">
        <v>3882</v>
      </c>
      <c r="L646" s="1" t="s">
        <v>3881</v>
      </c>
      <c r="M646" s="1" t="s">
        <v>3226</v>
      </c>
      <c r="O646" s="1">
        <v>1</v>
      </c>
      <c r="P646" s="1" t="s">
        <v>4267</v>
      </c>
      <c r="Q646" s="1">
        <v>1999</v>
      </c>
      <c r="R646" s="1" t="s">
        <v>4268</v>
      </c>
      <c r="S646" s="1" t="s">
        <v>27</v>
      </c>
      <c r="T646" s="6">
        <v>1</v>
      </c>
      <c r="U646" s="1">
        <v>74.099999999999994</v>
      </c>
      <c r="V646" s="1">
        <v>2.0720000000000001</v>
      </c>
      <c r="AD646" s="1">
        <v>0.81314285714285695</v>
      </c>
      <c r="AW646" s="1">
        <v>8.6431881599999996E-2</v>
      </c>
      <c r="BA646" s="1">
        <v>0.28793778879999998</v>
      </c>
      <c r="BG646" s="1">
        <v>5.9306086399999999E-2</v>
      </c>
      <c r="CA646" s="1">
        <v>7.7670755199999997E-2</v>
      </c>
      <c r="CQ646" s="1">
        <v>0.1935871968</v>
      </c>
      <c r="CZ646" s="1">
        <v>2.93160768E-2</v>
      </c>
      <c r="DR646" s="1">
        <v>2.948456E-2</v>
      </c>
      <c r="EI646" s="1">
        <v>0.1000790208</v>
      </c>
      <c r="EV646" s="1">
        <v>6.4697548800000004E-2</v>
      </c>
      <c r="EZ646" s="1">
        <v>8.3736150400000001E-2</v>
      </c>
      <c r="FF646" s="1">
        <v>0.20672888640000001</v>
      </c>
      <c r="FN646" s="1">
        <v>0.1849945536</v>
      </c>
    </row>
    <row r="647" spans="1:170" x14ac:dyDescent="0.2">
      <c r="A647" s="1" t="s">
        <v>4274</v>
      </c>
      <c r="B647" s="1" t="s">
        <v>57</v>
      </c>
      <c r="C647" s="1" t="s">
        <v>4265</v>
      </c>
      <c r="D647" s="1" t="s">
        <v>2</v>
      </c>
      <c r="E647" s="1">
        <v>53</v>
      </c>
      <c r="F647" s="1" t="s">
        <v>3879</v>
      </c>
      <c r="H647" s="1" t="s">
        <v>4266</v>
      </c>
      <c r="I647" s="1" t="s">
        <v>7</v>
      </c>
      <c r="J647" s="1" t="s">
        <v>3881</v>
      </c>
      <c r="K647" s="1" t="s">
        <v>3882</v>
      </c>
      <c r="L647" s="1" t="s">
        <v>3881</v>
      </c>
      <c r="M647" s="1" t="s">
        <v>2974</v>
      </c>
      <c r="O647" s="1">
        <v>1</v>
      </c>
      <c r="P647" s="1" t="s">
        <v>4267</v>
      </c>
      <c r="Q647" s="1">
        <v>1999</v>
      </c>
      <c r="R647" s="1" t="s">
        <v>4268</v>
      </c>
      <c r="S647" s="1" t="s">
        <v>27</v>
      </c>
      <c r="T647" s="6">
        <v>1</v>
      </c>
      <c r="U647" s="1">
        <v>73</v>
      </c>
      <c r="V647" s="1">
        <v>2.2949999999999999</v>
      </c>
      <c r="AD647" s="1">
        <v>0.82702396514161203</v>
      </c>
      <c r="AW647" s="1">
        <v>0.10306248599999999</v>
      </c>
      <c r="BA647" s="1">
        <v>0.33974557999999999</v>
      </c>
      <c r="BG647" s="1">
        <v>6.2255056000000003E-2</v>
      </c>
      <c r="CA647" s="1">
        <v>9.3951989999999999E-2</v>
      </c>
      <c r="CQ647" s="1">
        <v>0.20688418</v>
      </c>
      <c r="CZ647" s="1">
        <v>2.84703E-2</v>
      </c>
      <c r="DR647" s="1">
        <v>2.9039705999999998E-2</v>
      </c>
      <c r="EI647" s="1">
        <v>0.100784862</v>
      </c>
      <c r="EV647" s="1">
        <v>7.1745156000000004E-2</v>
      </c>
      <c r="EZ647" s="1">
        <v>8.9966147999999996E-2</v>
      </c>
      <c r="FF647" s="1">
        <v>0.20479635800000001</v>
      </c>
      <c r="FN647" s="1">
        <v>0.19644507</v>
      </c>
    </row>
    <row r="648" spans="1:170" x14ac:dyDescent="0.2">
      <c r="A648" s="1" t="s">
        <v>4275</v>
      </c>
      <c r="B648" s="1" t="s">
        <v>57</v>
      </c>
      <c r="C648" s="1" t="s">
        <v>4265</v>
      </c>
      <c r="D648" s="1" t="s">
        <v>2</v>
      </c>
      <c r="E648" s="1">
        <v>53</v>
      </c>
      <c r="F648" s="1" t="s">
        <v>3879</v>
      </c>
      <c r="H648" s="1" t="s">
        <v>4266</v>
      </c>
      <c r="I648" s="1" t="s">
        <v>7</v>
      </c>
      <c r="J648" s="1" t="s">
        <v>3881</v>
      </c>
      <c r="K648" s="1" t="s">
        <v>3882</v>
      </c>
      <c r="L648" s="1" t="s">
        <v>3881</v>
      </c>
      <c r="M648" s="1" t="s">
        <v>1293</v>
      </c>
      <c r="O648" s="1">
        <v>1</v>
      </c>
      <c r="P648" s="1" t="s">
        <v>4267</v>
      </c>
      <c r="Q648" s="1">
        <v>1999</v>
      </c>
      <c r="R648" s="1" t="s">
        <v>4268</v>
      </c>
      <c r="S648" s="1" t="s">
        <v>27</v>
      </c>
      <c r="T648" s="6">
        <v>1</v>
      </c>
      <c r="U648" s="1" t="s">
        <v>4276</v>
      </c>
      <c r="V648" s="1" t="s">
        <v>4278</v>
      </c>
      <c r="AD648" s="1">
        <v>0.81279729075955498</v>
      </c>
      <c r="AW648" s="1">
        <v>8.7362703999999999E-2</v>
      </c>
      <c r="BA648" s="1">
        <v>0.30526544839999997</v>
      </c>
      <c r="BG648" s="1">
        <v>5.0737570400000001E-2</v>
      </c>
      <c r="CA648" s="1">
        <v>9.4754932799999997E-2</v>
      </c>
      <c r="CQ648" s="1">
        <v>0.15792488800000001</v>
      </c>
      <c r="CZ648" s="1">
        <v>2.9232904800000001E-2</v>
      </c>
      <c r="DR648" s="1">
        <v>3.3433034799999997E-2</v>
      </c>
      <c r="EI648" s="1">
        <v>0.1073553228</v>
      </c>
      <c r="EV648" s="1">
        <v>8.7026693599999996E-2</v>
      </c>
      <c r="EZ648" s="1">
        <v>8.7362703999999999E-2</v>
      </c>
      <c r="FF648" s="1">
        <v>0.21370261439999999</v>
      </c>
      <c r="FN648" s="1">
        <v>0.19555805279999999</v>
      </c>
    </row>
    <row r="649" spans="1:170" x14ac:dyDescent="0.2">
      <c r="A649" s="1" t="s">
        <v>4279</v>
      </c>
      <c r="B649" s="1" t="s">
        <v>57</v>
      </c>
      <c r="C649" s="1" t="s">
        <v>4265</v>
      </c>
      <c r="D649" s="1" t="s">
        <v>2</v>
      </c>
      <c r="E649" s="1">
        <v>53</v>
      </c>
      <c r="F649" s="1" t="s">
        <v>3879</v>
      </c>
      <c r="H649" s="1" t="s">
        <v>4266</v>
      </c>
      <c r="I649" s="1" t="s">
        <v>7</v>
      </c>
      <c r="J649" s="1" t="s">
        <v>3881</v>
      </c>
      <c r="K649" s="1" t="s">
        <v>3882</v>
      </c>
      <c r="L649" s="1" t="s">
        <v>3881</v>
      </c>
      <c r="M649" s="1" t="s">
        <v>481</v>
      </c>
      <c r="O649" s="1">
        <v>1</v>
      </c>
      <c r="P649" s="1" t="s">
        <v>4267</v>
      </c>
      <c r="Q649" s="1">
        <v>1999</v>
      </c>
      <c r="R649" s="1" t="s">
        <v>4268</v>
      </c>
      <c r="S649" s="1" t="s">
        <v>27</v>
      </c>
      <c r="T649" s="6">
        <v>1</v>
      </c>
      <c r="U649" s="1">
        <v>75</v>
      </c>
      <c r="V649" s="1">
        <v>1.9750000000000001</v>
      </c>
      <c r="AD649" s="1">
        <v>0.806126582278481</v>
      </c>
      <c r="AW649" s="1">
        <v>7.8172110000000003E-2</v>
      </c>
      <c r="BA649" s="1">
        <v>0.24868602000000001</v>
      </c>
      <c r="BG649" s="1">
        <v>3.9961709999999998E-2</v>
      </c>
      <c r="CA649" s="1">
        <v>7.6580010000000004E-2</v>
      </c>
      <c r="CQ649" s="1">
        <v>0.15825474</v>
      </c>
      <c r="CZ649" s="1">
        <v>2.8657800000000001E-2</v>
      </c>
      <c r="DR649" s="1">
        <v>2.6588069999999998E-2</v>
      </c>
      <c r="EI649" s="1">
        <v>9.9983879999999997E-2</v>
      </c>
      <c r="EV649" s="1">
        <v>8.6132609999999998E-2</v>
      </c>
      <c r="EZ649" s="1">
        <v>8.0878679999999994E-2</v>
      </c>
      <c r="FF649" s="1">
        <v>0.22496373</v>
      </c>
      <c r="FN649" s="1">
        <v>0.20522169000000001</v>
      </c>
    </row>
    <row r="650" spans="1:170" x14ac:dyDescent="0.2">
      <c r="A650" s="1" t="s">
        <v>4280</v>
      </c>
      <c r="B650" s="1" t="s">
        <v>57</v>
      </c>
      <c r="C650" s="1" t="s">
        <v>4265</v>
      </c>
      <c r="D650" s="1" t="s">
        <v>2</v>
      </c>
      <c r="E650" s="1">
        <v>53</v>
      </c>
      <c r="F650" s="1" t="s">
        <v>3879</v>
      </c>
      <c r="H650" s="1" t="s">
        <v>4266</v>
      </c>
      <c r="I650" s="1" t="s">
        <v>7</v>
      </c>
      <c r="J650" s="1" t="s">
        <v>3881</v>
      </c>
      <c r="K650" s="1" t="s">
        <v>3882</v>
      </c>
      <c r="L650" s="1" t="s">
        <v>3881</v>
      </c>
      <c r="M650" s="1" t="s">
        <v>1284</v>
      </c>
      <c r="O650" s="1">
        <v>1</v>
      </c>
      <c r="P650" s="1" t="s">
        <v>4267</v>
      </c>
      <c r="Q650" s="1">
        <v>1999</v>
      </c>
      <c r="R650" s="1" t="s">
        <v>4268</v>
      </c>
      <c r="S650" s="1" t="s">
        <v>27</v>
      </c>
      <c r="T650" s="6">
        <v>1</v>
      </c>
      <c r="U650" s="1" t="s">
        <v>4281</v>
      </c>
      <c r="V650" s="1" t="s">
        <v>4283</v>
      </c>
      <c r="AD650" s="1">
        <v>0.80411165845648602</v>
      </c>
      <c r="AW650" s="1">
        <v>6.2838817280000001E-2</v>
      </c>
      <c r="BA650" s="1">
        <v>0.24304988927999999</v>
      </c>
      <c r="BG650" s="1">
        <v>4.0586667520000001E-2</v>
      </c>
      <c r="CA650" s="1">
        <v>7.3494776319999996E-2</v>
      </c>
      <c r="CQ650" s="1">
        <v>0.15654857472</v>
      </c>
      <c r="CZ650" s="1">
        <v>2.9303887359999999E-2</v>
      </c>
      <c r="DR650" s="1">
        <v>2.5856371199999999E-2</v>
      </c>
      <c r="EI650" s="1">
        <v>0.10091820032</v>
      </c>
      <c r="EV650" s="1">
        <v>8.556108288E-2</v>
      </c>
      <c r="EZ650" s="1">
        <v>8.4777556480000002E-2</v>
      </c>
      <c r="FF650" s="1">
        <v>0.23176710912000001</v>
      </c>
      <c r="FN650" s="1">
        <v>0.21264906495999999</v>
      </c>
    </row>
    <row r="651" spans="1:170" x14ac:dyDescent="0.2">
      <c r="A651" s="1" t="s">
        <v>4284</v>
      </c>
      <c r="B651" s="1" t="s">
        <v>57</v>
      </c>
      <c r="C651" s="1" t="s">
        <v>4265</v>
      </c>
      <c r="D651" s="1" t="s">
        <v>2</v>
      </c>
      <c r="E651" s="1">
        <v>53</v>
      </c>
      <c r="F651" s="1" t="s">
        <v>3879</v>
      </c>
      <c r="H651" s="1" t="s">
        <v>4266</v>
      </c>
      <c r="I651" s="1" t="s">
        <v>7</v>
      </c>
      <c r="J651" s="1" t="s">
        <v>3881</v>
      </c>
      <c r="K651" s="1" t="s">
        <v>3882</v>
      </c>
      <c r="L651" s="1" t="s">
        <v>3881</v>
      </c>
      <c r="M651" s="1" t="s">
        <v>3316</v>
      </c>
      <c r="O651" s="1">
        <v>1</v>
      </c>
      <c r="P651" s="1" t="s">
        <v>4267</v>
      </c>
      <c r="Q651" s="1">
        <v>1999</v>
      </c>
      <c r="R651" s="1" t="s">
        <v>4268</v>
      </c>
      <c r="S651" s="1" t="s">
        <v>27</v>
      </c>
      <c r="T651" s="6">
        <v>1</v>
      </c>
      <c r="U651" s="1" t="s">
        <v>4285</v>
      </c>
      <c r="V651" s="1" t="s">
        <v>4287</v>
      </c>
      <c r="AD651" s="1">
        <v>0.81304626678257497</v>
      </c>
      <c r="AW651" s="1">
        <v>7.255857416E-2</v>
      </c>
      <c r="BA651" s="1">
        <v>0.25656442464000001</v>
      </c>
      <c r="BG651" s="1">
        <v>4.7306170160000001E-2</v>
      </c>
      <c r="CA651" s="1">
        <v>8.8215064639999993E-2</v>
      </c>
      <c r="CQ651" s="1">
        <v>0.17878702031999999</v>
      </c>
      <c r="CZ651" s="1">
        <v>3.2323077120000002E-2</v>
      </c>
      <c r="DR651" s="1">
        <v>2.9292788640000001E-2</v>
      </c>
      <c r="EI651" s="1">
        <v>9.9494471759999994E-2</v>
      </c>
      <c r="EV651" s="1">
        <v>8.3332933200000001E-2</v>
      </c>
      <c r="EZ651" s="1">
        <v>8.1481090239999998E-2</v>
      </c>
      <c r="FF651" s="1">
        <v>0.23754094696</v>
      </c>
      <c r="FN651" s="1">
        <v>0.25201899191999999</v>
      </c>
    </row>
    <row r="652" spans="1:170" x14ac:dyDescent="0.2">
      <c r="A652" s="1" t="s">
        <v>4288</v>
      </c>
      <c r="B652" s="1" t="s">
        <v>57</v>
      </c>
      <c r="C652" s="1" t="s">
        <v>4265</v>
      </c>
      <c r="D652" s="1" t="s">
        <v>2</v>
      </c>
      <c r="E652" s="1">
        <v>53</v>
      </c>
      <c r="F652" s="1" t="s">
        <v>3879</v>
      </c>
      <c r="H652" s="1" t="s">
        <v>4266</v>
      </c>
      <c r="I652" s="1" t="s">
        <v>7</v>
      </c>
      <c r="J652" s="1" t="s">
        <v>3881</v>
      </c>
      <c r="K652" s="1" t="s">
        <v>3882</v>
      </c>
      <c r="L652" s="1" t="s">
        <v>3881</v>
      </c>
      <c r="M652" s="1" t="s">
        <v>2967</v>
      </c>
      <c r="O652" s="1">
        <v>1</v>
      </c>
      <c r="P652" s="1" t="s">
        <v>4267</v>
      </c>
      <c r="Q652" s="1">
        <v>1999</v>
      </c>
      <c r="R652" s="1" t="s">
        <v>4268</v>
      </c>
      <c r="S652" s="1" t="s">
        <v>27</v>
      </c>
      <c r="T652" s="6">
        <v>1</v>
      </c>
      <c r="U652" s="1">
        <v>79.5</v>
      </c>
      <c r="V652" s="1">
        <v>1.6605000000000001</v>
      </c>
      <c r="AD652" s="1">
        <v>0.77774043962661799</v>
      </c>
      <c r="AW652" s="1">
        <v>5.2819814200000002E-2</v>
      </c>
      <c r="BA652" s="1">
        <v>0.1966860074</v>
      </c>
      <c r="BG652" s="1">
        <v>4.0163721800000003E-2</v>
      </c>
      <c r="CA652" s="1">
        <v>6.9608508200000002E-2</v>
      </c>
      <c r="CQ652" s="1">
        <v>0.13456783959999999</v>
      </c>
      <c r="CZ652" s="1">
        <v>2.7636773199999999E-2</v>
      </c>
      <c r="DR652" s="1">
        <v>2.4795609600000001E-2</v>
      </c>
      <c r="EI652" s="1">
        <v>7.7744567599999995E-2</v>
      </c>
      <c r="EV652" s="1">
        <v>5.4886114999999999E-2</v>
      </c>
      <c r="EZ652" s="1">
        <v>6.5863337999999993E-2</v>
      </c>
      <c r="FF652" s="1">
        <v>0.18402991499999999</v>
      </c>
      <c r="FN652" s="1">
        <v>0.20017288999999999</v>
      </c>
    </row>
    <row r="653" spans="1:170" x14ac:dyDescent="0.2">
      <c r="A653" s="1" t="s">
        <v>4289</v>
      </c>
      <c r="B653" s="1" t="s">
        <v>57</v>
      </c>
      <c r="C653" s="1" t="s">
        <v>4265</v>
      </c>
      <c r="D653" s="1" t="s">
        <v>2</v>
      </c>
      <c r="E653" s="1">
        <v>53</v>
      </c>
      <c r="F653" s="1" t="s">
        <v>3879</v>
      </c>
      <c r="H653" s="1" t="s">
        <v>4266</v>
      </c>
      <c r="I653" s="1" t="s">
        <v>7</v>
      </c>
      <c r="J653" s="1" t="s">
        <v>3881</v>
      </c>
      <c r="K653" s="1" t="s">
        <v>3882</v>
      </c>
      <c r="L653" s="1" t="s">
        <v>3881</v>
      </c>
      <c r="M653" s="1" t="s">
        <v>817</v>
      </c>
      <c r="O653" s="1">
        <v>1</v>
      </c>
      <c r="P653" s="1" t="s">
        <v>4267</v>
      </c>
      <c r="Q653" s="1">
        <v>1999</v>
      </c>
      <c r="R653" s="1" t="s">
        <v>4268</v>
      </c>
      <c r="S653" s="1" t="s">
        <v>27</v>
      </c>
      <c r="T653" s="6">
        <v>1</v>
      </c>
      <c r="U653" s="1">
        <v>77.3</v>
      </c>
      <c r="V653" s="1">
        <v>1.8613999999999999</v>
      </c>
      <c r="AD653" s="1">
        <v>0.796979907596433</v>
      </c>
      <c r="AW653" s="1">
        <v>7.0466174000000006E-2</v>
      </c>
      <c r="BA653" s="1">
        <v>0.22875545327999999</v>
      </c>
      <c r="BG653" s="1">
        <v>5.1477394480000001E-2</v>
      </c>
      <c r="CA653" s="1">
        <v>7.5806768240000003E-2</v>
      </c>
      <c r="CQ653" s="1">
        <v>0.16288812431999999</v>
      </c>
      <c r="CZ653" s="1">
        <v>3.0708416879999999E-2</v>
      </c>
      <c r="DR653" s="1">
        <v>2.7296370560000002E-2</v>
      </c>
      <c r="EI653" s="1">
        <v>7.9218814560000003E-2</v>
      </c>
      <c r="EV653" s="1">
        <v>5.518614048E-2</v>
      </c>
      <c r="EZ653" s="1">
        <v>6.8389276240000005E-2</v>
      </c>
      <c r="FF653" s="1">
        <v>0.20353598047999999</v>
      </c>
      <c r="FN653" s="1">
        <v>0.21110182231999999</v>
      </c>
    </row>
    <row r="654" spans="1:170" x14ac:dyDescent="0.2">
      <c r="A654" s="1" t="s">
        <v>4290</v>
      </c>
      <c r="B654" s="1" t="s">
        <v>57</v>
      </c>
      <c r="C654" s="1" t="s">
        <v>4265</v>
      </c>
      <c r="D654" s="1" t="s">
        <v>2</v>
      </c>
      <c r="E654" s="1">
        <v>53</v>
      </c>
      <c r="F654" s="1" t="s">
        <v>3879</v>
      </c>
      <c r="H654" s="1" t="s">
        <v>4266</v>
      </c>
      <c r="I654" s="1" t="s">
        <v>7</v>
      </c>
      <c r="J654" s="1" t="s">
        <v>3881</v>
      </c>
      <c r="K654" s="1" t="s">
        <v>3882</v>
      </c>
      <c r="L654" s="1" t="s">
        <v>3881</v>
      </c>
      <c r="M654" s="1" t="s">
        <v>2890</v>
      </c>
      <c r="O654" s="1">
        <v>1</v>
      </c>
      <c r="P654" s="1" t="s">
        <v>4267</v>
      </c>
      <c r="Q654" s="1">
        <v>1999</v>
      </c>
      <c r="R654" s="1" t="s">
        <v>4268</v>
      </c>
      <c r="S654" s="1" t="s">
        <v>27</v>
      </c>
      <c r="T654" s="6">
        <v>1</v>
      </c>
      <c r="U654" s="1">
        <v>76.099999999999994</v>
      </c>
      <c r="V654" s="1">
        <v>2.0554000000000001</v>
      </c>
      <c r="AD654" s="1">
        <v>0.81198910187798001</v>
      </c>
      <c r="AW654" s="1">
        <v>7.5770892960000003E-2</v>
      </c>
      <c r="BA654" s="1">
        <v>0.26352916296000001</v>
      </c>
      <c r="BG654" s="1">
        <v>5.5910240399999998E-2</v>
      </c>
      <c r="CA654" s="1">
        <v>7.9275713999999997E-2</v>
      </c>
      <c r="CQ654" s="1">
        <v>0.19076240232</v>
      </c>
      <c r="CZ654" s="1">
        <v>3.7885446480000001E-2</v>
      </c>
      <c r="DR654" s="1">
        <v>2.970753072E-2</v>
      </c>
      <c r="EI654" s="1">
        <v>0.10364256504</v>
      </c>
      <c r="EV654" s="1">
        <v>6.9095043359999997E-2</v>
      </c>
      <c r="EZ654" s="1">
        <v>8.912259216E-2</v>
      </c>
      <c r="FF654" s="1">
        <v>0.23849472695999999</v>
      </c>
      <c r="FN654" s="1">
        <v>0.22931543375999999</v>
      </c>
    </row>
    <row r="655" spans="1:170" x14ac:dyDescent="0.2">
      <c r="A655" s="1" t="s">
        <v>4291</v>
      </c>
      <c r="B655" s="1" t="s">
        <v>57</v>
      </c>
      <c r="C655" s="1" t="s">
        <v>4292</v>
      </c>
      <c r="E655" s="1">
        <v>53</v>
      </c>
      <c r="F655" s="1" t="s">
        <v>3879</v>
      </c>
      <c r="H655" s="1" t="s">
        <v>4293</v>
      </c>
      <c r="I655" s="1" t="s">
        <v>7</v>
      </c>
      <c r="J655" s="1" t="s">
        <v>4294</v>
      </c>
      <c r="K655" s="1" t="s">
        <v>3882</v>
      </c>
      <c r="L655" s="1" t="s">
        <v>3881</v>
      </c>
      <c r="M655" s="1" t="s">
        <v>4295</v>
      </c>
      <c r="P655" s="1" t="s">
        <v>4296</v>
      </c>
      <c r="Q655" s="1">
        <v>1990</v>
      </c>
      <c r="R655" s="1" t="s">
        <v>4297</v>
      </c>
      <c r="S655" s="1" t="s">
        <v>27</v>
      </c>
      <c r="T655" s="6">
        <v>1</v>
      </c>
      <c r="U655" s="1">
        <v>87.1</v>
      </c>
      <c r="X655" s="1">
        <v>1.46</v>
      </c>
      <c r="AE655" s="1">
        <v>1.05996</v>
      </c>
    </row>
    <row r="656" spans="1:170" x14ac:dyDescent="0.2">
      <c r="A656" s="1" t="s">
        <v>4298</v>
      </c>
      <c r="B656" s="1" t="s">
        <v>57</v>
      </c>
      <c r="C656" s="1" t="s">
        <v>4292</v>
      </c>
      <c r="E656" s="1">
        <v>53</v>
      </c>
      <c r="F656" s="1" t="s">
        <v>3879</v>
      </c>
      <c r="H656" s="1" t="s">
        <v>4293</v>
      </c>
      <c r="I656" s="1" t="s">
        <v>7</v>
      </c>
      <c r="J656" s="1" t="s">
        <v>4294</v>
      </c>
      <c r="K656" s="1" t="s">
        <v>3882</v>
      </c>
      <c r="L656" s="1" t="s">
        <v>3881</v>
      </c>
      <c r="M656" s="1" t="s">
        <v>4299</v>
      </c>
      <c r="P656" s="1" t="s">
        <v>4296</v>
      </c>
      <c r="Q656" s="1">
        <v>1990</v>
      </c>
      <c r="R656" s="1" t="s">
        <v>4297</v>
      </c>
      <c r="S656" s="1" t="s">
        <v>27</v>
      </c>
      <c r="T656" s="6">
        <v>1</v>
      </c>
      <c r="U656" s="1">
        <v>84.7</v>
      </c>
      <c r="X656" s="1">
        <v>2.84</v>
      </c>
      <c r="AE656" s="1">
        <v>2.3912800000000001</v>
      </c>
    </row>
    <row r="657" spans="1:31" x14ac:dyDescent="0.2">
      <c r="A657" s="1" t="s">
        <v>4300</v>
      </c>
      <c r="B657" s="1" t="s">
        <v>57</v>
      </c>
      <c r="C657" s="1" t="s">
        <v>4292</v>
      </c>
      <c r="E657" s="1">
        <v>53</v>
      </c>
      <c r="F657" s="1" t="s">
        <v>3879</v>
      </c>
      <c r="H657" s="1" t="s">
        <v>4293</v>
      </c>
      <c r="I657" s="1" t="s">
        <v>7</v>
      </c>
      <c r="J657" s="1" t="s">
        <v>4294</v>
      </c>
      <c r="K657" s="1" t="s">
        <v>3882</v>
      </c>
      <c r="L657" s="1" t="s">
        <v>3881</v>
      </c>
      <c r="M657" s="1" t="s">
        <v>4301</v>
      </c>
      <c r="P657" s="1" t="s">
        <v>4296</v>
      </c>
      <c r="Q657" s="1">
        <v>1990</v>
      </c>
      <c r="R657" s="1" t="s">
        <v>4297</v>
      </c>
      <c r="S657" s="1" t="s">
        <v>27</v>
      </c>
      <c r="T657" s="6">
        <v>1</v>
      </c>
      <c r="U657" s="1">
        <v>84.2</v>
      </c>
      <c r="X657" s="1">
        <v>2.64</v>
      </c>
      <c r="AE657" s="1">
        <v>2.2888799999999998</v>
      </c>
    </row>
    <row r="658" spans="1:31" x14ac:dyDescent="0.2">
      <c r="A658" s="1" t="s">
        <v>4302</v>
      </c>
      <c r="B658" s="1" t="s">
        <v>57</v>
      </c>
      <c r="C658" s="1" t="s">
        <v>4303</v>
      </c>
      <c r="E658" s="1">
        <v>54</v>
      </c>
      <c r="F658" s="1" t="s">
        <v>1918</v>
      </c>
      <c r="H658" s="1" t="s">
        <v>4304</v>
      </c>
      <c r="I658" s="1" t="s">
        <v>11</v>
      </c>
      <c r="J658" s="1" t="s">
        <v>1920</v>
      </c>
      <c r="K658" s="1" t="s">
        <v>1921</v>
      </c>
      <c r="L658" s="1" t="s">
        <v>1920</v>
      </c>
      <c r="M658" s="1" t="s">
        <v>4295</v>
      </c>
      <c r="P658" s="1" t="s">
        <v>4296</v>
      </c>
      <c r="Q658" s="1">
        <v>1990</v>
      </c>
      <c r="R658" s="1" t="s">
        <v>4297</v>
      </c>
      <c r="S658" s="1" t="s">
        <v>27</v>
      </c>
      <c r="T658" s="6">
        <v>1</v>
      </c>
      <c r="U658" s="1">
        <v>74.5</v>
      </c>
      <c r="X658" s="1">
        <v>3.64</v>
      </c>
      <c r="AE658" s="1">
        <v>3.31968</v>
      </c>
    </row>
    <row r="659" spans="1:31" x14ac:dyDescent="0.2">
      <c r="A659" s="1" t="s">
        <v>4305</v>
      </c>
      <c r="B659" s="1" t="s">
        <v>57</v>
      </c>
      <c r="C659" s="1" t="s">
        <v>4303</v>
      </c>
      <c r="E659" s="1">
        <v>54</v>
      </c>
      <c r="F659" s="1" t="s">
        <v>1918</v>
      </c>
      <c r="H659" s="1" t="s">
        <v>4304</v>
      </c>
      <c r="I659" s="1" t="s">
        <v>11</v>
      </c>
      <c r="J659" s="1" t="s">
        <v>1920</v>
      </c>
      <c r="K659" s="1" t="s">
        <v>1921</v>
      </c>
      <c r="L659" s="1" t="s">
        <v>1920</v>
      </c>
      <c r="M659" s="1" t="s">
        <v>4299</v>
      </c>
      <c r="P659" s="1" t="s">
        <v>4296</v>
      </c>
      <c r="Q659" s="1">
        <v>1990</v>
      </c>
      <c r="R659" s="1" t="s">
        <v>4297</v>
      </c>
      <c r="S659" s="1" t="s">
        <v>27</v>
      </c>
      <c r="T659" s="6">
        <v>1</v>
      </c>
      <c r="U659" s="1">
        <v>74.2</v>
      </c>
      <c r="X659" s="1">
        <v>6.46</v>
      </c>
      <c r="AE659" s="1">
        <v>3.1209199999999999</v>
      </c>
    </row>
    <row r="660" spans="1:31" x14ac:dyDescent="0.2">
      <c r="A660" s="1" t="s">
        <v>4306</v>
      </c>
      <c r="B660" s="1" t="s">
        <v>57</v>
      </c>
      <c r="C660" s="1" t="s">
        <v>4303</v>
      </c>
      <c r="E660" s="1">
        <v>54</v>
      </c>
      <c r="F660" s="1" t="s">
        <v>1918</v>
      </c>
      <c r="H660" s="1" t="s">
        <v>4304</v>
      </c>
      <c r="I660" s="1" t="s">
        <v>11</v>
      </c>
      <c r="J660" s="1" t="s">
        <v>1920</v>
      </c>
      <c r="K660" s="1" t="s">
        <v>1921</v>
      </c>
      <c r="L660" s="1" t="s">
        <v>1920</v>
      </c>
      <c r="M660" s="1" t="s">
        <v>4307</v>
      </c>
      <c r="P660" s="1" t="s">
        <v>4296</v>
      </c>
      <c r="Q660" s="1">
        <v>1990</v>
      </c>
      <c r="R660" s="1" t="s">
        <v>4297</v>
      </c>
      <c r="S660" s="1" t="s">
        <v>27</v>
      </c>
      <c r="T660" s="6">
        <v>1</v>
      </c>
      <c r="U660" s="1">
        <v>75.599999999999994</v>
      </c>
      <c r="X660" s="1">
        <v>2.17</v>
      </c>
      <c r="AE660" s="1">
        <v>1.64052</v>
      </c>
    </row>
    <row r="661" spans="1:31" x14ac:dyDescent="0.2">
      <c r="A661" s="1" t="s">
        <v>4308</v>
      </c>
      <c r="B661" s="1" t="s">
        <v>57</v>
      </c>
      <c r="C661" s="1" t="s">
        <v>4309</v>
      </c>
      <c r="E661" s="1">
        <v>56</v>
      </c>
      <c r="F661" s="1" t="s">
        <v>4310</v>
      </c>
      <c r="H661" s="1" t="s">
        <v>4311</v>
      </c>
      <c r="I661" s="1" t="s">
        <v>11</v>
      </c>
      <c r="J661" s="1" t="s">
        <v>4312</v>
      </c>
      <c r="L661" s="1" t="s">
        <v>4313</v>
      </c>
      <c r="M661" s="1" t="s">
        <v>4299</v>
      </c>
      <c r="P661" s="1" t="s">
        <v>4296</v>
      </c>
      <c r="Q661" s="1">
        <v>1990</v>
      </c>
      <c r="R661" s="1" t="s">
        <v>4297</v>
      </c>
      <c r="S661" s="1" t="s">
        <v>27</v>
      </c>
      <c r="T661" s="6">
        <v>1</v>
      </c>
      <c r="U661" s="1">
        <v>75</v>
      </c>
      <c r="X661" s="1">
        <v>2.29</v>
      </c>
      <c r="AE661" s="1">
        <v>1.8205499999999999</v>
      </c>
    </row>
    <row r="662" spans="1:31" x14ac:dyDescent="0.2">
      <c r="A662" s="1" t="s">
        <v>4314</v>
      </c>
      <c r="B662" s="1" t="s">
        <v>57</v>
      </c>
      <c r="C662" s="1" t="s">
        <v>4309</v>
      </c>
      <c r="E662" s="1">
        <v>56</v>
      </c>
      <c r="F662" s="1" t="s">
        <v>4310</v>
      </c>
      <c r="H662" s="1" t="s">
        <v>4311</v>
      </c>
      <c r="I662" s="1" t="s">
        <v>11</v>
      </c>
      <c r="J662" s="1" t="s">
        <v>4312</v>
      </c>
      <c r="L662" s="1" t="s">
        <v>4313</v>
      </c>
      <c r="M662" s="1" t="s">
        <v>4301</v>
      </c>
      <c r="P662" s="1" t="s">
        <v>4296</v>
      </c>
      <c r="Q662" s="1">
        <v>1990</v>
      </c>
      <c r="R662" s="1" t="s">
        <v>4297</v>
      </c>
      <c r="S662" s="1" t="s">
        <v>27</v>
      </c>
      <c r="T662" s="6">
        <v>1</v>
      </c>
      <c r="U662" s="1">
        <v>72.599999999999994</v>
      </c>
      <c r="X662" s="1">
        <v>2.21</v>
      </c>
      <c r="AE662" s="1">
        <v>1.7193799999999999</v>
      </c>
    </row>
    <row r="663" spans="1:31" x14ac:dyDescent="0.2">
      <c r="A663" s="1" t="s">
        <v>4315</v>
      </c>
      <c r="B663" s="1" t="s">
        <v>57</v>
      </c>
      <c r="C663" s="1" t="s">
        <v>4309</v>
      </c>
      <c r="E663" s="1">
        <v>56</v>
      </c>
      <c r="F663" s="1" t="s">
        <v>4310</v>
      </c>
      <c r="H663" s="1" t="s">
        <v>4311</v>
      </c>
      <c r="I663" s="1" t="s">
        <v>11</v>
      </c>
      <c r="J663" s="1" t="s">
        <v>4312</v>
      </c>
      <c r="L663" s="1" t="s">
        <v>4313</v>
      </c>
      <c r="M663" s="1" t="s">
        <v>4307</v>
      </c>
      <c r="P663" s="1" t="s">
        <v>4296</v>
      </c>
      <c r="Q663" s="1">
        <v>1990</v>
      </c>
      <c r="R663" s="1" t="s">
        <v>4297</v>
      </c>
      <c r="S663" s="1" t="s">
        <v>27</v>
      </c>
      <c r="T663" s="6">
        <v>1</v>
      </c>
      <c r="U663" s="1">
        <v>76.900000000000006</v>
      </c>
      <c r="X663" s="1">
        <v>2.1800000000000002</v>
      </c>
      <c r="AE663" s="1">
        <v>1.7483599999999999</v>
      </c>
    </row>
    <row r="664" spans="1:31" x14ac:dyDescent="0.2">
      <c r="A664" s="1" t="s">
        <v>4316</v>
      </c>
      <c r="B664" s="1" t="s">
        <v>57</v>
      </c>
      <c r="C664" s="1" t="s">
        <v>4309</v>
      </c>
      <c r="E664" s="1">
        <v>56</v>
      </c>
      <c r="F664" s="1" t="s">
        <v>4310</v>
      </c>
      <c r="H664" s="1" t="s">
        <v>4317</v>
      </c>
      <c r="I664" s="1" t="s">
        <v>7</v>
      </c>
      <c r="J664" s="1" t="s">
        <v>4312</v>
      </c>
      <c r="L664" s="1" t="s">
        <v>4313</v>
      </c>
      <c r="M664" s="1" t="s">
        <v>4299</v>
      </c>
      <c r="P664" s="1" t="s">
        <v>4296</v>
      </c>
      <c r="Q664" s="1">
        <v>1990</v>
      </c>
      <c r="R664" s="1" t="s">
        <v>4297</v>
      </c>
      <c r="S664" s="1" t="s">
        <v>27</v>
      </c>
      <c r="T664" s="6">
        <v>1</v>
      </c>
      <c r="U664" s="1">
        <v>75.900000000000006</v>
      </c>
      <c r="X664" s="1">
        <v>1.92</v>
      </c>
      <c r="AE664" s="1">
        <v>1.55904</v>
      </c>
    </row>
    <row r="665" spans="1:31" x14ac:dyDescent="0.2">
      <c r="A665" s="1" t="s">
        <v>4318</v>
      </c>
      <c r="B665" s="1" t="s">
        <v>57</v>
      </c>
      <c r="C665" s="1" t="s">
        <v>4309</v>
      </c>
      <c r="E665" s="1">
        <v>56</v>
      </c>
      <c r="F665" s="1" t="s">
        <v>4310</v>
      </c>
      <c r="H665" s="1" t="s">
        <v>4317</v>
      </c>
      <c r="I665" s="1" t="s">
        <v>7</v>
      </c>
      <c r="J665" s="1" t="s">
        <v>4312</v>
      </c>
      <c r="L665" s="1" t="s">
        <v>4313</v>
      </c>
      <c r="M665" s="1" t="s">
        <v>4301</v>
      </c>
      <c r="P665" s="1" t="s">
        <v>4296</v>
      </c>
      <c r="Q665" s="1">
        <v>1990</v>
      </c>
      <c r="R665" s="1" t="s">
        <v>4297</v>
      </c>
      <c r="S665" s="1" t="s">
        <v>27</v>
      </c>
      <c r="T665" s="6">
        <v>1</v>
      </c>
      <c r="U665" s="1">
        <v>77.2</v>
      </c>
      <c r="X665" s="1">
        <v>1.43</v>
      </c>
      <c r="AE665" s="1">
        <v>1.1797500000000001</v>
      </c>
    </row>
    <row r="666" spans="1:31" x14ac:dyDescent="0.2">
      <c r="A666" s="1" t="s">
        <v>4319</v>
      </c>
      <c r="B666" s="1" t="s">
        <v>57</v>
      </c>
      <c r="C666" s="1" t="s">
        <v>4320</v>
      </c>
      <c r="E666" s="1">
        <v>57</v>
      </c>
      <c r="F666" s="1" t="s">
        <v>4321</v>
      </c>
      <c r="H666" s="1" t="s">
        <v>4322</v>
      </c>
      <c r="I666" s="1" t="s">
        <v>7</v>
      </c>
      <c r="J666" s="1" t="s">
        <v>4323</v>
      </c>
      <c r="K666" s="1" t="s">
        <v>4324</v>
      </c>
      <c r="L666" s="1" t="s">
        <v>4323</v>
      </c>
      <c r="M666" s="1" t="s">
        <v>4299</v>
      </c>
      <c r="P666" s="1" t="s">
        <v>4296</v>
      </c>
      <c r="Q666" s="1">
        <v>1990</v>
      </c>
      <c r="R666" s="1" t="s">
        <v>4297</v>
      </c>
      <c r="S666" s="1" t="s">
        <v>27</v>
      </c>
      <c r="T666" s="6">
        <v>1</v>
      </c>
      <c r="U666" s="1">
        <v>82.7</v>
      </c>
      <c r="X666" s="1">
        <v>1.76</v>
      </c>
      <c r="AE666" s="1">
        <v>1.1492800000000001</v>
      </c>
    </row>
    <row r="667" spans="1:31" x14ac:dyDescent="0.2">
      <c r="A667" s="1" t="s">
        <v>4325</v>
      </c>
      <c r="B667" s="1" t="s">
        <v>57</v>
      </c>
      <c r="C667" s="1" t="s">
        <v>4320</v>
      </c>
      <c r="E667" s="1">
        <v>57</v>
      </c>
      <c r="F667" s="1" t="s">
        <v>4321</v>
      </c>
      <c r="H667" s="1" t="s">
        <v>4322</v>
      </c>
      <c r="I667" s="1" t="s">
        <v>7</v>
      </c>
      <c r="J667" s="1" t="s">
        <v>4323</v>
      </c>
      <c r="K667" s="1" t="s">
        <v>4324</v>
      </c>
      <c r="L667" s="1" t="s">
        <v>4323</v>
      </c>
      <c r="M667" s="1" t="s">
        <v>4301</v>
      </c>
      <c r="P667" s="1" t="s">
        <v>4296</v>
      </c>
      <c r="Q667" s="1">
        <v>1990</v>
      </c>
      <c r="R667" s="1" t="s">
        <v>4297</v>
      </c>
      <c r="S667" s="1" t="s">
        <v>27</v>
      </c>
      <c r="T667" s="6">
        <v>1</v>
      </c>
      <c r="U667" s="1">
        <v>76.2</v>
      </c>
      <c r="X667" s="1">
        <v>1.24</v>
      </c>
      <c r="AE667" s="1">
        <v>0.94984000000000002</v>
      </c>
    </row>
    <row r="668" spans="1:31" x14ac:dyDescent="0.2">
      <c r="A668" s="1" t="s">
        <v>4326</v>
      </c>
      <c r="B668" s="1" t="s">
        <v>57</v>
      </c>
      <c r="C668" s="1" t="s">
        <v>4327</v>
      </c>
      <c r="E668" s="1">
        <v>55</v>
      </c>
      <c r="F668" s="1" t="s">
        <v>4328</v>
      </c>
      <c r="H668" s="1" t="s">
        <v>4329</v>
      </c>
      <c r="I668" s="1" t="s">
        <v>7</v>
      </c>
      <c r="J668" s="1" t="s">
        <v>4330</v>
      </c>
      <c r="K668" s="1" t="s">
        <v>4331</v>
      </c>
      <c r="L668" s="1" t="s">
        <v>4332</v>
      </c>
      <c r="M668" s="1" t="s">
        <v>4295</v>
      </c>
      <c r="P668" s="1" t="s">
        <v>4296</v>
      </c>
      <c r="Q668" s="1">
        <v>1990</v>
      </c>
      <c r="R668" s="1" t="s">
        <v>4297</v>
      </c>
      <c r="S668" s="1" t="s">
        <v>27</v>
      </c>
      <c r="T668" s="6">
        <v>1</v>
      </c>
      <c r="U668" s="1">
        <v>87.8</v>
      </c>
      <c r="X668" s="1">
        <v>0.66</v>
      </c>
      <c r="AE668" s="1">
        <v>0.43031999999999998</v>
      </c>
    </row>
    <row r="669" spans="1:31" x14ac:dyDescent="0.2">
      <c r="A669" s="1" t="s">
        <v>4333</v>
      </c>
      <c r="B669" s="1" t="s">
        <v>57</v>
      </c>
      <c r="C669" s="1" t="s">
        <v>4327</v>
      </c>
      <c r="E669" s="1">
        <v>55</v>
      </c>
      <c r="F669" s="1" t="s">
        <v>4328</v>
      </c>
      <c r="H669" s="1" t="s">
        <v>4329</v>
      </c>
      <c r="I669" s="1" t="s">
        <v>7</v>
      </c>
      <c r="J669" s="1" t="s">
        <v>4330</v>
      </c>
      <c r="K669" s="1" t="s">
        <v>4331</v>
      </c>
      <c r="L669" s="1" t="s">
        <v>4332</v>
      </c>
      <c r="M669" s="1" t="s">
        <v>4307</v>
      </c>
      <c r="P669" s="1" t="s">
        <v>4296</v>
      </c>
      <c r="Q669" s="1">
        <v>1990</v>
      </c>
      <c r="R669" s="1" t="s">
        <v>4297</v>
      </c>
      <c r="S669" s="1" t="s">
        <v>27</v>
      </c>
      <c r="T669" s="6">
        <v>1</v>
      </c>
      <c r="U669" s="1">
        <v>84.5</v>
      </c>
      <c r="X669" s="1">
        <v>0.68</v>
      </c>
      <c r="AE669" s="1">
        <v>0.48008000000000001</v>
      </c>
    </row>
    <row r="670" spans="1:31" x14ac:dyDescent="0.2">
      <c r="A670" s="1" t="s">
        <v>4334</v>
      </c>
      <c r="B670" s="1" t="s">
        <v>57</v>
      </c>
      <c r="C670" s="1" t="s">
        <v>4335</v>
      </c>
      <c r="E670" s="1">
        <v>55</v>
      </c>
      <c r="F670" s="1" t="s">
        <v>4336</v>
      </c>
      <c r="H670" s="1" t="s">
        <v>4337</v>
      </c>
      <c r="I670" s="1" t="s">
        <v>7</v>
      </c>
      <c r="J670" s="1" t="s">
        <v>4338</v>
      </c>
      <c r="K670" s="1" t="s">
        <v>4339</v>
      </c>
      <c r="L670" s="1" t="s">
        <v>4338</v>
      </c>
      <c r="M670" s="1" t="s">
        <v>4295</v>
      </c>
      <c r="P670" s="1" t="s">
        <v>4296</v>
      </c>
      <c r="Q670" s="1">
        <v>1990</v>
      </c>
      <c r="R670" s="1" t="s">
        <v>4297</v>
      </c>
      <c r="S670" s="1" t="s">
        <v>27</v>
      </c>
      <c r="T670" s="6">
        <v>1</v>
      </c>
      <c r="U670" s="1">
        <v>77.400000000000006</v>
      </c>
      <c r="X670" s="1">
        <v>1.1399999999999999</v>
      </c>
      <c r="AE670" s="1">
        <v>0.80825999999999998</v>
      </c>
    </row>
    <row r="671" spans="1:31" x14ac:dyDescent="0.2">
      <c r="A671" s="1" t="s">
        <v>4340</v>
      </c>
      <c r="B671" s="1" t="s">
        <v>57</v>
      </c>
      <c r="C671" s="1" t="s">
        <v>4335</v>
      </c>
      <c r="E671" s="1">
        <v>55</v>
      </c>
      <c r="F671" s="1" t="s">
        <v>4336</v>
      </c>
      <c r="H671" s="1" t="s">
        <v>4337</v>
      </c>
      <c r="I671" s="1" t="s">
        <v>7</v>
      </c>
      <c r="J671" s="1" t="s">
        <v>4338</v>
      </c>
      <c r="K671" s="1" t="s">
        <v>4339</v>
      </c>
      <c r="L671" s="1" t="s">
        <v>4338</v>
      </c>
      <c r="M671" s="1" t="s">
        <v>4307</v>
      </c>
      <c r="P671" s="1" t="s">
        <v>4296</v>
      </c>
      <c r="Q671" s="1">
        <v>1990</v>
      </c>
      <c r="R671" s="1" t="s">
        <v>4297</v>
      </c>
      <c r="S671" s="1" t="s">
        <v>27</v>
      </c>
      <c r="T671" s="6">
        <v>1</v>
      </c>
      <c r="U671" s="1">
        <v>80.099999999999994</v>
      </c>
      <c r="X671" s="1">
        <v>0.77</v>
      </c>
      <c r="AE671" s="1">
        <v>0.57981000000000005</v>
      </c>
    </row>
    <row r="672" spans="1:31" x14ac:dyDescent="0.2">
      <c r="A672" s="1" t="s">
        <v>4341</v>
      </c>
      <c r="B672" s="1" t="s">
        <v>1912</v>
      </c>
      <c r="C672" s="1" t="s">
        <v>4342</v>
      </c>
      <c r="E672" s="1">
        <v>42</v>
      </c>
      <c r="F672" s="1" t="s">
        <v>3798</v>
      </c>
      <c r="H672" s="1" t="s">
        <v>4343</v>
      </c>
      <c r="I672" s="1" t="s">
        <v>11</v>
      </c>
      <c r="J672" s="1" t="s">
        <v>3800</v>
      </c>
      <c r="K672" s="1" t="s">
        <v>3801</v>
      </c>
      <c r="L672" s="1" t="s">
        <v>3800</v>
      </c>
      <c r="M672" s="1" t="s">
        <v>4295</v>
      </c>
      <c r="P672" s="1" t="s">
        <v>4344</v>
      </c>
      <c r="Q672" s="1">
        <v>1990</v>
      </c>
      <c r="R672" s="1" t="s">
        <v>4297</v>
      </c>
      <c r="S672" s="1" t="s">
        <v>27</v>
      </c>
      <c r="T672" s="6">
        <v>1</v>
      </c>
      <c r="U672" s="1">
        <v>78.8</v>
      </c>
      <c r="X672" s="1">
        <v>1.32</v>
      </c>
      <c r="AE672" s="1">
        <v>0.85799999999999998</v>
      </c>
    </row>
    <row r="673" spans="1:169" x14ac:dyDescent="0.2">
      <c r="A673" s="1" t="s">
        <v>4345</v>
      </c>
      <c r="B673" s="1" t="s">
        <v>1912</v>
      </c>
      <c r="C673" s="1" t="s">
        <v>4342</v>
      </c>
      <c r="E673" s="1">
        <v>42</v>
      </c>
      <c r="F673" s="1" t="s">
        <v>3798</v>
      </c>
      <c r="H673" s="1" t="s">
        <v>4343</v>
      </c>
      <c r="I673" s="1" t="s">
        <v>11</v>
      </c>
      <c r="J673" s="1" t="s">
        <v>3800</v>
      </c>
      <c r="K673" s="1" t="s">
        <v>3801</v>
      </c>
      <c r="L673" s="1" t="s">
        <v>3800</v>
      </c>
      <c r="M673" s="1" t="s">
        <v>4295</v>
      </c>
      <c r="P673" s="1" t="s">
        <v>4344</v>
      </c>
      <c r="Q673" s="1">
        <v>1990</v>
      </c>
      <c r="R673" s="1" t="s">
        <v>4297</v>
      </c>
      <c r="S673" s="1" t="s">
        <v>27</v>
      </c>
      <c r="T673" s="6">
        <v>1</v>
      </c>
      <c r="U673" s="1">
        <v>78.2</v>
      </c>
      <c r="X673" s="1">
        <v>1.31</v>
      </c>
      <c r="AE673" s="1">
        <v>0.82923000000000002</v>
      </c>
    </row>
    <row r="674" spans="1:169" x14ac:dyDescent="0.2">
      <c r="A674" s="1" t="s">
        <v>4346</v>
      </c>
      <c r="B674" s="1" t="s">
        <v>1912</v>
      </c>
      <c r="C674" s="1" t="s">
        <v>4347</v>
      </c>
      <c r="E674" s="1">
        <v>42</v>
      </c>
      <c r="F674" s="1" t="s">
        <v>3798</v>
      </c>
      <c r="H674" s="1" t="s">
        <v>4343</v>
      </c>
      <c r="I674" s="1" t="s">
        <v>11</v>
      </c>
      <c r="J674" s="1" t="s">
        <v>3800</v>
      </c>
      <c r="K674" s="1" t="s">
        <v>3801</v>
      </c>
      <c r="L674" s="1" t="s">
        <v>3800</v>
      </c>
      <c r="M674" s="1" t="s">
        <v>4307</v>
      </c>
      <c r="P674" s="1" t="s">
        <v>4344</v>
      </c>
      <c r="Q674" s="1">
        <v>1990</v>
      </c>
      <c r="R674" s="1" t="s">
        <v>4297</v>
      </c>
      <c r="S674" s="1" t="s">
        <v>27</v>
      </c>
      <c r="T674" s="6">
        <v>1</v>
      </c>
      <c r="U674" s="1">
        <v>76</v>
      </c>
      <c r="X674" s="1">
        <v>1.04</v>
      </c>
      <c r="AE674" s="1">
        <v>0.71760000000000002</v>
      </c>
    </row>
    <row r="675" spans="1:169" x14ac:dyDescent="0.2">
      <c r="A675" s="1" t="s">
        <v>4348</v>
      </c>
      <c r="B675" s="1" t="s">
        <v>1912</v>
      </c>
      <c r="C675" s="1" t="s">
        <v>4342</v>
      </c>
      <c r="E675" s="1">
        <v>45</v>
      </c>
      <c r="F675" s="1" t="s">
        <v>4349</v>
      </c>
      <c r="H675" s="1" t="s">
        <v>4350</v>
      </c>
      <c r="I675" s="1" t="s">
        <v>11</v>
      </c>
      <c r="J675" s="1" t="s">
        <v>4351</v>
      </c>
      <c r="K675" s="1" t="s">
        <v>4352</v>
      </c>
      <c r="L675" s="1" t="s">
        <v>4351</v>
      </c>
      <c r="M675" s="1" t="s">
        <v>4299</v>
      </c>
      <c r="P675" s="1" t="s">
        <v>4344</v>
      </c>
      <c r="Q675" s="1">
        <v>1990</v>
      </c>
      <c r="R675" s="1" t="s">
        <v>4297</v>
      </c>
      <c r="S675" s="1" t="s">
        <v>27</v>
      </c>
      <c r="T675" s="6">
        <v>1</v>
      </c>
      <c r="U675" s="1">
        <v>79.099999999999994</v>
      </c>
      <c r="X675" s="1">
        <v>1.19</v>
      </c>
      <c r="AE675" s="1">
        <v>0.85680000000000001</v>
      </c>
    </row>
    <row r="676" spans="1:169" x14ac:dyDescent="0.2">
      <c r="A676" s="1" t="s">
        <v>4353</v>
      </c>
      <c r="B676" s="1" t="s">
        <v>1912</v>
      </c>
      <c r="C676" s="1" t="s">
        <v>4347</v>
      </c>
      <c r="E676" s="1">
        <v>45</v>
      </c>
      <c r="F676" s="1" t="s">
        <v>4349</v>
      </c>
      <c r="H676" s="1" t="s">
        <v>4350</v>
      </c>
      <c r="I676" s="1" t="s">
        <v>11</v>
      </c>
      <c r="J676" s="1" t="s">
        <v>4351</v>
      </c>
      <c r="K676" s="1" t="s">
        <v>4352</v>
      </c>
      <c r="L676" s="1" t="s">
        <v>4351</v>
      </c>
      <c r="M676" s="1" t="s">
        <v>4307</v>
      </c>
      <c r="P676" s="1" t="s">
        <v>4344</v>
      </c>
      <c r="Q676" s="1">
        <v>1990</v>
      </c>
      <c r="R676" s="1" t="s">
        <v>4297</v>
      </c>
      <c r="S676" s="1" t="s">
        <v>27</v>
      </c>
      <c r="T676" s="6">
        <v>1</v>
      </c>
      <c r="U676" s="1">
        <v>76.5</v>
      </c>
      <c r="X676" s="1">
        <v>1.34</v>
      </c>
      <c r="AE676" s="1">
        <v>0.88439999999999996</v>
      </c>
    </row>
    <row r="677" spans="1:169" x14ac:dyDescent="0.2">
      <c r="A677" s="1" t="s">
        <v>4354</v>
      </c>
      <c r="B677" s="1" t="s">
        <v>57</v>
      </c>
      <c r="C677" s="1" t="s">
        <v>4292</v>
      </c>
      <c r="E677" s="1">
        <v>53</v>
      </c>
      <c r="F677" s="1" t="s">
        <v>3879</v>
      </c>
      <c r="H677" s="1" t="s">
        <v>4293</v>
      </c>
      <c r="I677" s="1" t="s">
        <v>7</v>
      </c>
      <c r="J677" s="1" t="s">
        <v>4294</v>
      </c>
      <c r="K677" s="1" t="s">
        <v>3882</v>
      </c>
      <c r="L677" s="1" t="s">
        <v>3881</v>
      </c>
      <c r="M677" s="1" t="s">
        <v>4355</v>
      </c>
      <c r="P677" s="1" t="s">
        <v>4296</v>
      </c>
      <c r="Q677" s="1">
        <v>1990</v>
      </c>
      <c r="R677" s="1" t="s">
        <v>4297</v>
      </c>
      <c r="S677" s="1" t="s">
        <v>27</v>
      </c>
      <c r="T677" s="6">
        <v>1</v>
      </c>
      <c r="U677" s="1" t="s">
        <v>4356</v>
      </c>
      <c r="X677" s="1" t="s">
        <v>4358</v>
      </c>
      <c r="Y677" s="1">
        <v>0.504671804</v>
      </c>
      <c r="Z677" s="1">
        <v>0.39222503600000003</v>
      </c>
      <c r="AA677" s="1">
        <v>0.79898400800000002</v>
      </c>
      <c r="AB677" s="1">
        <v>0.21647915200000001</v>
      </c>
      <c r="AD677" s="1">
        <v>0.82786147186147196</v>
      </c>
      <c r="AE677" s="1">
        <v>1.91</v>
      </c>
      <c r="AF677" s="1">
        <v>0.71866488799999995</v>
      </c>
      <c r="AG677" s="1">
        <v>8.0319119999999994E-2</v>
      </c>
      <c r="AW677" s="1">
        <v>6.4829003999999996E-2</v>
      </c>
      <c r="AY677" s="1">
        <v>1.3195284E-2</v>
      </c>
      <c r="BA677" s="1">
        <v>0.339635136</v>
      </c>
      <c r="BD677" s="1">
        <v>2.7920456E-2</v>
      </c>
      <c r="BG677" s="1">
        <v>5.9091923999999997E-2</v>
      </c>
      <c r="BT677" s="1">
        <v>2.2948320000000001E-3</v>
      </c>
      <c r="BX677" s="1">
        <v>2.2948320000000001E-3</v>
      </c>
      <c r="BZ677" s="1">
        <v>6.4255296000000003E-2</v>
      </c>
      <c r="CB677" s="1">
        <v>5.6223384000000001E-2</v>
      </c>
      <c r="CK677" s="1">
        <v>6.4255296000000003E-2</v>
      </c>
      <c r="CM677" s="1">
        <v>9.4661819999999994E-2</v>
      </c>
      <c r="CU677" s="1">
        <v>2.6199331999999999E-2</v>
      </c>
      <c r="CV677" s="1">
        <v>8.4143840000000004E-3</v>
      </c>
      <c r="CX677" s="1">
        <v>7.3434624000000004E-2</v>
      </c>
      <c r="DN677" s="1">
        <v>2.86854E-2</v>
      </c>
      <c r="EH677" s="1">
        <v>2.5816860000000001E-2</v>
      </c>
      <c r="ET677" s="1">
        <v>4.3601807999999999E-2</v>
      </c>
      <c r="EX677" s="1">
        <v>2.9067872000000002E-2</v>
      </c>
      <c r="EY677" s="1">
        <v>1.0326744000000001E-2</v>
      </c>
      <c r="FA677" s="1">
        <v>2.2565847999999999E-2</v>
      </c>
      <c r="FB677" s="1">
        <v>6.6932600000000004E-3</v>
      </c>
      <c r="FE677" s="1">
        <v>0.35990615199999998</v>
      </c>
      <c r="FJ677" s="1">
        <v>2.2374611999999999E-2</v>
      </c>
      <c r="FM677" s="1">
        <v>0.24994545200000001</v>
      </c>
    </row>
    <row r="678" spans="1:169" x14ac:dyDescent="0.2">
      <c r="A678" s="1" t="s">
        <v>4360</v>
      </c>
      <c r="B678" s="1" t="s">
        <v>57</v>
      </c>
      <c r="C678" s="1" t="s">
        <v>4320</v>
      </c>
      <c r="E678" s="1">
        <v>57</v>
      </c>
      <c r="F678" s="1" t="s">
        <v>4321</v>
      </c>
      <c r="H678" s="1" t="s">
        <v>4322</v>
      </c>
      <c r="I678" s="1" t="s">
        <v>7</v>
      </c>
      <c r="J678" s="1" t="s">
        <v>4323</v>
      </c>
      <c r="K678" s="1" t="s">
        <v>4324</v>
      </c>
      <c r="L678" s="1" t="s">
        <v>4323</v>
      </c>
      <c r="M678" s="1" t="s">
        <v>4361</v>
      </c>
      <c r="P678" s="1" t="s">
        <v>4296</v>
      </c>
      <c r="Q678" s="1">
        <v>1990</v>
      </c>
      <c r="R678" s="1" t="s">
        <v>4297</v>
      </c>
      <c r="S678" s="1" t="s">
        <v>27</v>
      </c>
      <c r="T678" s="6">
        <v>1</v>
      </c>
      <c r="U678" s="1">
        <v>79.400000000000006</v>
      </c>
      <c r="X678" s="1">
        <v>1.5</v>
      </c>
      <c r="Y678" s="1">
        <v>0.45428960000000002</v>
      </c>
      <c r="Z678" s="1">
        <v>9.2519400000000002E-2</v>
      </c>
      <c r="AA678" s="1">
        <v>0.57412099999999999</v>
      </c>
      <c r="AB678" s="1">
        <v>1.7069999999999998E-2</v>
      </c>
      <c r="AD678" s="1">
        <v>0.75866666666666704</v>
      </c>
      <c r="AE678" s="1">
        <v>1.05</v>
      </c>
      <c r="AF678" s="1">
        <v>0.55750619999999995</v>
      </c>
      <c r="AG678" s="1">
        <v>1.6614799999999999E-2</v>
      </c>
      <c r="AW678" s="1">
        <v>2.9929399999999998E-2</v>
      </c>
      <c r="AY678" s="1">
        <v>4.6658000000000003E-3</v>
      </c>
      <c r="BA678" s="1">
        <v>0.35938039999999999</v>
      </c>
      <c r="BD678" s="1">
        <v>9.5592000000000003E-3</v>
      </c>
      <c r="BG678" s="1">
        <v>5.0754800000000003E-2</v>
      </c>
      <c r="BT678" s="1">
        <v>9.1039999999999992E-3</v>
      </c>
      <c r="CK678" s="1">
        <v>2.28738E-2</v>
      </c>
      <c r="CM678" s="1">
        <v>1.9687400000000001E-2</v>
      </c>
      <c r="CU678" s="1">
        <v>1.68424E-2</v>
      </c>
      <c r="CV678" s="1">
        <v>2.40118E-2</v>
      </c>
      <c r="EX678" s="1">
        <v>1.6614799999999999E-2</v>
      </c>
      <c r="FE678" s="1">
        <v>0.17092760000000001</v>
      </c>
      <c r="FM678" s="1">
        <v>0.38657859999999999</v>
      </c>
    </row>
    <row r="679" spans="1:169" x14ac:dyDescent="0.2">
      <c r="A679" s="1" t="s">
        <v>4362</v>
      </c>
      <c r="B679" s="1" t="s">
        <v>57</v>
      </c>
      <c r="C679" s="1" t="s">
        <v>4327</v>
      </c>
      <c r="E679" s="1">
        <v>55</v>
      </c>
      <c r="F679" s="1" t="s">
        <v>4328</v>
      </c>
      <c r="H679" s="1" t="s">
        <v>4329</v>
      </c>
      <c r="I679" s="1" t="s">
        <v>7</v>
      </c>
      <c r="J679" s="1" t="s">
        <v>4330</v>
      </c>
      <c r="K679" s="1" t="s">
        <v>4331</v>
      </c>
      <c r="L679" s="1" t="s">
        <v>4332</v>
      </c>
      <c r="M679" s="1" t="s">
        <v>4363</v>
      </c>
      <c r="P679" s="1" t="s">
        <v>4296</v>
      </c>
      <c r="Q679" s="1">
        <v>1990</v>
      </c>
      <c r="R679" s="1" t="s">
        <v>4297</v>
      </c>
      <c r="S679" s="1" t="s">
        <v>27</v>
      </c>
      <c r="T679" s="6">
        <v>1</v>
      </c>
      <c r="U679" s="1">
        <v>86.2</v>
      </c>
      <c r="X679" s="1">
        <v>0.67</v>
      </c>
      <c r="Y679" s="1">
        <v>9.9841895999999999E-2</v>
      </c>
      <c r="Z679" s="1">
        <v>3.2729399999999999E-2</v>
      </c>
      <c r="AA679" s="1">
        <v>0.20547172799999999</v>
      </c>
      <c r="AB679" s="1">
        <v>6.4769759999999997E-3</v>
      </c>
      <c r="AD679" s="1">
        <v>0.51420895522388099</v>
      </c>
      <c r="AE679" s="1">
        <v>0.46</v>
      </c>
      <c r="AF679" s="1">
        <v>0.18721216800000001</v>
      </c>
      <c r="AG679" s="1">
        <v>1.8259560000000001E-2</v>
      </c>
      <c r="AW679" s="1">
        <v>6.1324559999999997E-3</v>
      </c>
      <c r="AY679" s="1">
        <v>2.4116400000000001E-3</v>
      </c>
      <c r="BA679" s="1">
        <v>6.6561263999999995E-2</v>
      </c>
      <c r="BD679" s="1">
        <v>3.169584E-3</v>
      </c>
      <c r="BG679" s="1">
        <v>2.1566952E-2</v>
      </c>
      <c r="BT679" s="1">
        <v>1.3780800000000001E-4</v>
      </c>
      <c r="BZ679" s="1">
        <v>7.4416320000000001E-3</v>
      </c>
      <c r="CB679" s="1">
        <v>5.8223880000000004E-3</v>
      </c>
      <c r="CK679" s="1">
        <v>1.412532E-3</v>
      </c>
      <c r="CM679" s="1">
        <v>1.5641208E-2</v>
      </c>
      <c r="CV679" s="1">
        <v>1.515888E-3</v>
      </c>
      <c r="CX679" s="1">
        <v>7.5794399999999998E-4</v>
      </c>
      <c r="DN679" s="1">
        <v>4.8232800000000002E-4</v>
      </c>
      <c r="DT679" s="1">
        <v>5.5123200000000002E-4</v>
      </c>
      <c r="EH679" s="1">
        <v>4.2720479999999996E-3</v>
      </c>
      <c r="ET679" s="1">
        <v>7.5105359999999999E-3</v>
      </c>
      <c r="EX679" s="1">
        <v>1.1644776000000001E-2</v>
      </c>
      <c r="FA679" s="1">
        <v>5.5812240000000001E-3</v>
      </c>
      <c r="FB679" s="1">
        <v>6.2013599999999997E-4</v>
      </c>
      <c r="FE679" s="1">
        <v>8.9575199999999994E-2</v>
      </c>
      <c r="FJ679" s="1">
        <v>2.1360239999999998E-3</v>
      </c>
      <c r="FM679" s="1">
        <v>8.3098223999999998E-2</v>
      </c>
    </row>
    <row r="680" spans="1:169" x14ac:dyDescent="0.2">
      <c r="A680" s="1" t="s">
        <v>4364</v>
      </c>
      <c r="B680" s="1" t="s">
        <v>57</v>
      </c>
      <c r="C680" s="1" t="s">
        <v>4335</v>
      </c>
      <c r="E680" s="1">
        <v>55</v>
      </c>
      <c r="F680" s="1" t="s">
        <v>4336</v>
      </c>
      <c r="H680" s="1" t="s">
        <v>4337</v>
      </c>
      <c r="I680" s="1" t="s">
        <v>7</v>
      </c>
      <c r="J680" s="1" t="s">
        <v>4338</v>
      </c>
      <c r="K680" s="1" t="s">
        <v>4339</v>
      </c>
      <c r="L680" s="1" t="s">
        <v>4338</v>
      </c>
      <c r="M680" s="1" t="s">
        <v>4363</v>
      </c>
      <c r="P680" s="1" t="s">
        <v>4296</v>
      </c>
      <c r="Q680" s="1">
        <v>1990</v>
      </c>
      <c r="R680" s="1" t="s">
        <v>4297</v>
      </c>
      <c r="S680" s="1" t="s">
        <v>27</v>
      </c>
      <c r="T680" s="6">
        <v>1</v>
      </c>
      <c r="U680" s="1">
        <v>78.8</v>
      </c>
      <c r="X680" s="1">
        <v>0.96</v>
      </c>
      <c r="Y680" s="1">
        <v>0.19890102400000001</v>
      </c>
      <c r="Z680" s="1">
        <v>7.5668191999999995E-2</v>
      </c>
      <c r="AA680" s="1">
        <v>0.33400947199999997</v>
      </c>
      <c r="AB680" s="1">
        <v>1.3181312000000001E-2</v>
      </c>
      <c r="AD680" s="1">
        <v>0.64766666666666695</v>
      </c>
      <c r="AE680" s="1">
        <v>0.7</v>
      </c>
      <c r="AF680" s="1">
        <v>0.28936710399999999</v>
      </c>
      <c r="AG680" s="1">
        <v>4.4642368000000002E-2</v>
      </c>
      <c r="AW680" s="1">
        <v>2.0704607999999999E-2</v>
      </c>
      <c r="AY680" s="1">
        <v>5.9067199999999999E-3</v>
      </c>
      <c r="BA680" s="1">
        <v>0.112352032</v>
      </c>
      <c r="BD680" s="1">
        <v>1.0694271999999999E-2</v>
      </c>
      <c r="BG680" s="1">
        <v>4.9243391999999997E-2</v>
      </c>
      <c r="BT680" s="1">
        <v>1.430048E-3</v>
      </c>
      <c r="BZ680" s="1">
        <v>1.8093215999999999E-2</v>
      </c>
      <c r="CB680" s="1">
        <v>2.4497344000000001E-2</v>
      </c>
      <c r="CK680" s="1">
        <v>6.652832E-3</v>
      </c>
      <c r="CM680" s="1">
        <v>1.7471456E-2</v>
      </c>
      <c r="CV680" s="1">
        <v>6.2797759999999999E-3</v>
      </c>
      <c r="CX680" s="1">
        <v>1.2435199999999999E-3</v>
      </c>
      <c r="DN680" s="1">
        <v>1.86528E-3</v>
      </c>
      <c r="ET680" s="1">
        <v>8.0828800000000006E-3</v>
      </c>
      <c r="EX680" s="1">
        <v>3.5813376000000001E-2</v>
      </c>
      <c r="FA680" s="1">
        <v>6.9637120000000004E-3</v>
      </c>
      <c r="FB680" s="1">
        <v>1.8093215999999999E-2</v>
      </c>
      <c r="FE680" s="1">
        <v>0.100849472</v>
      </c>
      <c r="FJ680" s="1">
        <v>1.3803072E-2</v>
      </c>
      <c r="FM680" s="1">
        <v>0.14853846400000001</v>
      </c>
    </row>
    <row r="681" spans="1:169" x14ac:dyDescent="0.2">
      <c r="A681" s="1" t="s">
        <v>4365</v>
      </c>
      <c r="B681" s="1" t="s">
        <v>1912</v>
      </c>
      <c r="C681" s="1" t="s">
        <v>4347</v>
      </c>
      <c r="E681" s="1">
        <v>42</v>
      </c>
      <c r="F681" s="1" t="s">
        <v>3798</v>
      </c>
      <c r="H681" s="1" t="s">
        <v>4366</v>
      </c>
      <c r="I681" s="1" t="s">
        <v>11</v>
      </c>
      <c r="J681" s="1" t="s">
        <v>3800</v>
      </c>
      <c r="K681" s="1" t="s">
        <v>3801</v>
      </c>
      <c r="L681" s="1" t="s">
        <v>3800</v>
      </c>
      <c r="M681" s="1" t="s">
        <v>4363</v>
      </c>
      <c r="P681" s="1" t="s">
        <v>4344</v>
      </c>
      <c r="Q681" s="1">
        <v>1990</v>
      </c>
      <c r="R681" s="1" t="s">
        <v>4297</v>
      </c>
      <c r="S681" s="1" t="s">
        <v>27</v>
      </c>
      <c r="T681" s="6">
        <v>1</v>
      </c>
      <c r="U681" s="1">
        <v>77.599999999999994</v>
      </c>
      <c r="X681" s="1">
        <v>1.22</v>
      </c>
      <c r="Y681" s="1">
        <v>0.177234688</v>
      </c>
      <c r="Z681" s="1">
        <v>0.19599440800000001</v>
      </c>
      <c r="AA681" s="1">
        <v>0.49945521199999998</v>
      </c>
      <c r="AB681" s="1">
        <v>2.0635692000000001E-2</v>
      </c>
      <c r="AD681" s="1">
        <v>0.73222950819672095</v>
      </c>
      <c r="AE681" s="1">
        <v>0.8</v>
      </c>
      <c r="AF681" s="1">
        <v>0.44112141599999999</v>
      </c>
      <c r="AG681" s="1">
        <v>5.8333796E-2</v>
      </c>
      <c r="AW681" s="1">
        <v>2.5012960000000001E-3</v>
      </c>
      <c r="AY681" s="1">
        <v>5.8959119999999997E-3</v>
      </c>
      <c r="BA681" s="1">
        <v>0.119794212</v>
      </c>
      <c r="BD681" s="1">
        <v>9.201196E-3</v>
      </c>
      <c r="BG681" s="1">
        <v>3.9842071999999999E-2</v>
      </c>
      <c r="BT681" s="1">
        <v>4.4666000000000003E-3</v>
      </c>
      <c r="BZ681" s="1">
        <v>4.3058024E-2</v>
      </c>
      <c r="CB681" s="1">
        <v>1.3489131999999999E-2</v>
      </c>
      <c r="CD681" s="1">
        <v>6.2532400000000002E-3</v>
      </c>
      <c r="CK681" s="1">
        <v>7.3430904000000005E-2</v>
      </c>
      <c r="CM681" s="1">
        <v>4.3415351999999997E-2</v>
      </c>
      <c r="CU681" s="1">
        <v>2.4119639999999999E-3</v>
      </c>
      <c r="CV681" s="1">
        <v>3.1266200000000001E-3</v>
      </c>
      <c r="CX681" s="1">
        <v>6.3425720000000003E-3</v>
      </c>
      <c r="DN681" s="1">
        <v>6.9678960000000003E-3</v>
      </c>
      <c r="DT681" s="1">
        <v>5.7172480000000003E-3</v>
      </c>
      <c r="EH681" s="1">
        <v>1.1613159999999999E-3</v>
      </c>
      <c r="EX681" s="1">
        <v>4.0288732000000001E-2</v>
      </c>
      <c r="FA681" s="1">
        <v>5.2705879999999997E-3</v>
      </c>
      <c r="FB681" s="1">
        <v>1.697308E-3</v>
      </c>
      <c r="FE681" s="1">
        <v>0.29747556000000003</v>
      </c>
      <c r="FJ681" s="1">
        <v>1.384646E-2</v>
      </c>
      <c r="FM681" s="1">
        <v>0.12694077200000001</v>
      </c>
    </row>
    <row r="682" spans="1:169" x14ac:dyDescent="0.2">
      <c r="A682" s="1" t="s">
        <v>4367</v>
      </c>
      <c r="B682" s="1" t="s">
        <v>1912</v>
      </c>
      <c r="C682" s="1" t="s">
        <v>4342</v>
      </c>
      <c r="E682" s="1">
        <v>45</v>
      </c>
      <c r="F682" s="1" t="s">
        <v>4349</v>
      </c>
      <c r="H682" s="1" t="s">
        <v>4350</v>
      </c>
      <c r="I682" s="1" t="s">
        <v>11</v>
      </c>
      <c r="J682" s="1" t="s">
        <v>4351</v>
      </c>
      <c r="K682" s="1" t="s">
        <v>4352</v>
      </c>
      <c r="L682" s="1" t="s">
        <v>4351</v>
      </c>
      <c r="M682" s="1" t="s">
        <v>4363</v>
      </c>
      <c r="P682" s="1" t="s">
        <v>4344</v>
      </c>
      <c r="Q682" s="1">
        <v>1990</v>
      </c>
      <c r="R682" s="1" t="s">
        <v>4297</v>
      </c>
      <c r="S682" s="1" t="s">
        <v>27</v>
      </c>
      <c r="T682" s="6">
        <v>1</v>
      </c>
      <c r="U682" s="1">
        <v>77.8</v>
      </c>
      <c r="X682" s="1">
        <v>1.26</v>
      </c>
      <c r="Y682" s="1">
        <v>0.223015464</v>
      </c>
      <c r="Z682" s="1">
        <v>0.24649077599999999</v>
      </c>
      <c r="AA682" s="1">
        <v>6.1482960000000001E-3</v>
      </c>
      <c r="AB682" s="1">
        <v>3.0368856E-2</v>
      </c>
      <c r="AD682" s="1">
        <v>0.73933333333333295</v>
      </c>
      <c r="AE682" s="1">
        <v>0.87</v>
      </c>
      <c r="AF682" s="1">
        <v>0.39712402800000002</v>
      </c>
      <c r="AG682" s="1">
        <v>3.4560875999999997E-2</v>
      </c>
      <c r="AW682" s="1">
        <v>1.3787087999999999E-2</v>
      </c>
      <c r="AY682" s="1">
        <v>3.72624E-3</v>
      </c>
      <c r="BA682" s="1">
        <v>0.17476065599999999</v>
      </c>
      <c r="BD682" s="1">
        <v>5.4962040000000002E-3</v>
      </c>
      <c r="BG682" s="1">
        <v>2.3847936E-2</v>
      </c>
      <c r="BT682" s="1">
        <v>8.7566640000000008E-3</v>
      </c>
      <c r="BX682" s="1">
        <v>2.0494319999999999E-3</v>
      </c>
      <c r="BZ682" s="1">
        <v>3.9218676000000001E-2</v>
      </c>
      <c r="CB682" s="1">
        <v>7.2661679999999999E-3</v>
      </c>
      <c r="CK682" s="1">
        <v>0.122313828</v>
      </c>
      <c r="CM682" s="1">
        <v>5.1981048000000002E-2</v>
      </c>
      <c r="CU682" s="1">
        <v>9.5019119999999995E-3</v>
      </c>
      <c r="CV682" s="1">
        <v>3.1673040000000001E-3</v>
      </c>
      <c r="CX682" s="1">
        <v>0.43168490399999998</v>
      </c>
      <c r="DN682" s="1">
        <v>3.72624E-3</v>
      </c>
      <c r="EH682" s="1">
        <v>2.980992E-3</v>
      </c>
      <c r="EX682" s="1">
        <v>2.3847936E-2</v>
      </c>
      <c r="EY682" s="1">
        <v>1.39734E-3</v>
      </c>
      <c r="FA682" s="1">
        <v>4.5646439999999996E-3</v>
      </c>
      <c r="FB682" s="1">
        <v>4.5646439999999996E-3</v>
      </c>
      <c r="FE682" s="1">
        <v>0.20466373199999999</v>
      </c>
      <c r="FJ682" s="1">
        <v>8.0114160000000004E-3</v>
      </c>
      <c r="FM682" s="1">
        <v>0.171779664</v>
      </c>
    </row>
    <row r="683" spans="1:169" x14ac:dyDescent="0.2">
      <c r="A683" s="1" t="s">
        <v>4368</v>
      </c>
      <c r="B683" s="1" t="s">
        <v>57</v>
      </c>
      <c r="C683" s="1" t="s">
        <v>4369</v>
      </c>
      <c r="D683" s="1" t="s">
        <v>4</v>
      </c>
      <c r="E683" s="1">
        <v>57</v>
      </c>
      <c r="F683" s="1" t="s">
        <v>1923</v>
      </c>
      <c r="H683" s="1" t="s">
        <v>4370</v>
      </c>
      <c r="I683" s="1" t="s">
        <v>7</v>
      </c>
      <c r="J683" s="1" t="s">
        <v>1925</v>
      </c>
      <c r="K683" s="1" t="s">
        <v>1926</v>
      </c>
      <c r="L683" s="1" t="s">
        <v>1925</v>
      </c>
      <c r="P683" s="1" t="s">
        <v>4371</v>
      </c>
      <c r="Q683" s="1">
        <v>2010</v>
      </c>
      <c r="R683" s="1" t="s">
        <v>4372</v>
      </c>
      <c r="S683" s="1" t="s">
        <v>27</v>
      </c>
      <c r="T683" s="6">
        <v>1</v>
      </c>
      <c r="U683" s="1">
        <v>86.03</v>
      </c>
      <c r="V683" s="1">
        <v>0.65</v>
      </c>
      <c r="Y683" s="1">
        <v>0.18873200000000001</v>
      </c>
      <c r="Z683" s="1">
        <v>3.7095599999999999E-2</v>
      </c>
      <c r="AA683" s="1">
        <v>9.8596199999999995E-2</v>
      </c>
      <c r="AD683" s="1">
        <v>0.50061538461538502</v>
      </c>
      <c r="AF683" s="1">
        <v>5.6294200000000003E-2</v>
      </c>
      <c r="AG683" s="1">
        <v>3.4492399999999999E-2</v>
      </c>
      <c r="AU683" s="1">
        <v>6.5079999999999999E-4</v>
      </c>
      <c r="AW683" s="1">
        <v>7.4841999999999999E-3</v>
      </c>
      <c r="BA683" s="1">
        <v>0.11942179999999999</v>
      </c>
      <c r="BD683" s="1">
        <v>1.9524E-3</v>
      </c>
      <c r="BG683" s="1">
        <v>5.4341800000000003E-2</v>
      </c>
      <c r="BJ683" s="1">
        <v>5.8571999999999999E-3</v>
      </c>
      <c r="BS683" s="1">
        <v>5.8571999999999999E-3</v>
      </c>
      <c r="CA683" s="1">
        <v>1.75716E-2</v>
      </c>
      <c r="CF683" s="1">
        <v>3.2539999999999999E-4</v>
      </c>
      <c r="CI683" s="1">
        <v>5.5317999999999999E-3</v>
      </c>
      <c r="CJ683" s="1">
        <v>2.9286E-3</v>
      </c>
      <c r="CV683" s="1">
        <v>4.8809999999999999E-3</v>
      </c>
      <c r="DE683" s="1">
        <v>3.2539999999999999E-4</v>
      </c>
      <c r="DK683" s="1">
        <v>1.36668E-2</v>
      </c>
      <c r="DM683" s="1">
        <v>4.2301999999999999E-3</v>
      </c>
      <c r="DY683" s="1">
        <v>1.627E-3</v>
      </c>
      <c r="ED683" s="1">
        <v>1.04128E-2</v>
      </c>
      <c r="EH683" s="1">
        <v>5.2063999999999999E-3</v>
      </c>
      <c r="EX683" s="1">
        <v>6.1825999999999999E-3</v>
      </c>
      <c r="FE683" s="1">
        <v>1.91986E-2</v>
      </c>
      <c r="FM683" s="1">
        <v>3.1889199999999999E-2</v>
      </c>
    </row>
    <row r="684" spans="1:169" x14ac:dyDescent="0.2">
      <c r="A684" s="1" t="s">
        <v>4373</v>
      </c>
      <c r="B684" s="1" t="s">
        <v>55</v>
      </c>
      <c r="C684" s="1" t="s">
        <v>4374</v>
      </c>
      <c r="E684" s="1">
        <v>13</v>
      </c>
      <c r="F684" s="1" t="s">
        <v>4375</v>
      </c>
      <c r="G684" s="1" t="s">
        <v>4376</v>
      </c>
      <c r="H684" s="1" t="s">
        <v>4377</v>
      </c>
      <c r="I684" s="1" t="s">
        <v>7</v>
      </c>
      <c r="J684" s="1" t="s">
        <v>4378</v>
      </c>
      <c r="L684" s="1" t="s">
        <v>4378</v>
      </c>
      <c r="P684" s="1" t="s">
        <v>4379</v>
      </c>
      <c r="Q684" s="1">
        <v>2007</v>
      </c>
      <c r="R684" s="1" t="s">
        <v>4380</v>
      </c>
      <c r="S684" s="1" t="s">
        <v>27</v>
      </c>
      <c r="T684" s="6">
        <v>1</v>
      </c>
    </row>
    <row r="685" spans="1:169" x14ac:dyDescent="0.2">
      <c r="A685" s="1" t="s">
        <v>4381</v>
      </c>
      <c r="B685" s="1" t="s">
        <v>55</v>
      </c>
      <c r="C685" s="1" t="s">
        <v>4374</v>
      </c>
      <c r="E685" s="1">
        <v>33</v>
      </c>
      <c r="F685" s="1" t="s">
        <v>4382</v>
      </c>
      <c r="G685" s="1" t="s">
        <v>4383</v>
      </c>
      <c r="H685" s="1" t="s">
        <v>4377</v>
      </c>
      <c r="I685" s="1" t="s">
        <v>7</v>
      </c>
      <c r="J685" s="1" t="s">
        <v>4384</v>
      </c>
      <c r="K685" s="1" t="s">
        <v>4385</v>
      </c>
      <c r="L685" s="1" t="s">
        <v>4386</v>
      </c>
      <c r="P685" s="1" t="s">
        <v>4379</v>
      </c>
      <c r="Q685" s="1">
        <v>2007</v>
      </c>
      <c r="R685" s="1" t="s">
        <v>4380</v>
      </c>
      <c r="S685" s="1" t="s">
        <v>27</v>
      </c>
      <c r="T685" s="6">
        <v>1</v>
      </c>
    </row>
    <row r="686" spans="1:169" x14ac:dyDescent="0.2">
      <c r="A686" s="1" t="s">
        <v>4387</v>
      </c>
      <c r="B686" s="1" t="s">
        <v>55</v>
      </c>
      <c r="C686" s="1" t="s">
        <v>4374</v>
      </c>
      <c r="E686" s="1">
        <v>11</v>
      </c>
      <c r="F686" s="1" t="s">
        <v>4388</v>
      </c>
      <c r="G686" s="1" t="s">
        <v>4389</v>
      </c>
      <c r="H686" s="1" t="s">
        <v>4390</v>
      </c>
      <c r="I686" s="1" t="s">
        <v>7</v>
      </c>
      <c r="J686" s="1" t="s">
        <v>4391</v>
      </c>
      <c r="K686" s="1" t="s">
        <v>4392</v>
      </c>
      <c r="L686" s="1" t="s">
        <v>4391</v>
      </c>
      <c r="P686" s="1" t="s">
        <v>4379</v>
      </c>
      <c r="Q686" s="1">
        <v>2007</v>
      </c>
      <c r="R686" s="1" t="s">
        <v>4380</v>
      </c>
      <c r="S686" s="1" t="s">
        <v>27</v>
      </c>
      <c r="T686" s="6">
        <v>1</v>
      </c>
    </row>
    <row r="687" spans="1:169" x14ac:dyDescent="0.2">
      <c r="A687" s="1" t="s">
        <v>4393</v>
      </c>
      <c r="B687" s="1" t="s">
        <v>55</v>
      </c>
      <c r="C687" s="1" t="s">
        <v>4374</v>
      </c>
      <c r="E687" s="1">
        <v>13</v>
      </c>
      <c r="F687" s="1" t="s">
        <v>4394</v>
      </c>
      <c r="G687" s="1" t="s">
        <v>4395</v>
      </c>
      <c r="H687" s="1" t="s">
        <v>4396</v>
      </c>
      <c r="I687" s="1" t="s">
        <v>7</v>
      </c>
      <c r="J687" s="1" t="s">
        <v>4397</v>
      </c>
      <c r="K687" s="1" t="s">
        <v>4398</v>
      </c>
      <c r="L687" s="1" t="s">
        <v>4397</v>
      </c>
      <c r="P687" s="1" t="s">
        <v>4379</v>
      </c>
      <c r="Q687" s="1">
        <v>2007</v>
      </c>
      <c r="R687" s="1" t="s">
        <v>4380</v>
      </c>
      <c r="S687" s="1" t="s">
        <v>27</v>
      </c>
      <c r="T687" s="6">
        <v>1</v>
      </c>
    </row>
    <row r="688" spans="1:169" x14ac:dyDescent="0.2">
      <c r="A688" s="1" t="s">
        <v>4399</v>
      </c>
      <c r="B688" s="1" t="s">
        <v>55</v>
      </c>
      <c r="C688" s="1" t="s">
        <v>4374</v>
      </c>
      <c r="E688" s="1">
        <v>11</v>
      </c>
      <c r="F688" s="1" t="s">
        <v>4400</v>
      </c>
      <c r="G688" s="1" t="s">
        <v>4401</v>
      </c>
      <c r="H688" s="1" t="s">
        <v>4377</v>
      </c>
      <c r="I688" s="1" t="s">
        <v>7</v>
      </c>
      <c r="J688" s="1" t="s">
        <v>4402</v>
      </c>
      <c r="L688" s="1" t="s">
        <v>4402</v>
      </c>
      <c r="P688" s="1" t="s">
        <v>4379</v>
      </c>
      <c r="Q688" s="1">
        <v>2007</v>
      </c>
      <c r="R688" s="1" t="s">
        <v>4380</v>
      </c>
      <c r="S688" s="1" t="s">
        <v>27</v>
      </c>
      <c r="T688" s="6">
        <v>1</v>
      </c>
    </row>
    <row r="689" spans="1:170" x14ac:dyDescent="0.2">
      <c r="A689" s="1" t="s">
        <v>4403</v>
      </c>
      <c r="B689" s="1" t="s">
        <v>55</v>
      </c>
      <c r="C689" s="1" t="s">
        <v>4374</v>
      </c>
      <c r="E689" s="1">
        <v>11</v>
      </c>
      <c r="F689" s="1" t="s">
        <v>4404</v>
      </c>
      <c r="G689" s="1" t="s">
        <v>4405</v>
      </c>
      <c r="H689" s="1" t="s">
        <v>4406</v>
      </c>
      <c r="I689" s="1" t="s">
        <v>7</v>
      </c>
      <c r="J689" s="1" t="s">
        <v>4407</v>
      </c>
      <c r="K689" s="1" t="s">
        <v>4408</v>
      </c>
      <c r="L689" s="1" t="s">
        <v>4407</v>
      </c>
      <c r="P689" s="1" t="s">
        <v>4379</v>
      </c>
      <c r="Q689" s="1">
        <v>2007</v>
      </c>
      <c r="R689" s="1" t="s">
        <v>4380</v>
      </c>
      <c r="S689" s="1" t="s">
        <v>27</v>
      </c>
      <c r="T689" s="6">
        <v>1</v>
      </c>
    </row>
    <row r="690" spans="1:170" x14ac:dyDescent="0.2">
      <c r="A690" s="1" t="s">
        <v>4409</v>
      </c>
      <c r="B690" s="1" t="s">
        <v>55</v>
      </c>
      <c r="C690" s="1" t="s">
        <v>4374</v>
      </c>
      <c r="E690" s="1">
        <v>13</v>
      </c>
      <c r="F690" s="1" t="s">
        <v>4410</v>
      </c>
      <c r="G690" s="1" t="s">
        <v>4411</v>
      </c>
      <c r="H690" s="1" t="s">
        <v>4412</v>
      </c>
      <c r="I690" s="1" t="s">
        <v>7</v>
      </c>
      <c r="J690" s="1" t="s">
        <v>4413</v>
      </c>
      <c r="K690" s="1" t="s">
        <v>4414</v>
      </c>
      <c r="L690" s="1" t="s">
        <v>4415</v>
      </c>
      <c r="P690" s="1" t="s">
        <v>4379</v>
      </c>
      <c r="Q690" s="1">
        <v>2007</v>
      </c>
      <c r="R690" s="1" t="s">
        <v>4380</v>
      </c>
      <c r="S690" s="1" t="s">
        <v>27</v>
      </c>
      <c r="T690" s="6">
        <v>1</v>
      </c>
    </row>
    <row r="691" spans="1:170" x14ac:dyDescent="0.2">
      <c r="A691" s="1" t="s">
        <v>4416</v>
      </c>
      <c r="B691" s="1" t="s">
        <v>55</v>
      </c>
      <c r="C691" s="1" t="s">
        <v>4374</v>
      </c>
      <c r="E691" s="1">
        <v>11</v>
      </c>
      <c r="F691" s="1" t="s">
        <v>2132</v>
      </c>
      <c r="H691" s="1" t="s">
        <v>4417</v>
      </c>
      <c r="I691" s="1" t="s">
        <v>7</v>
      </c>
      <c r="J691" s="1" t="s">
        <v>4418</v>
      </c>
      <c r="L691" s="1" t="s">
        <v>4418</v>
      </c>
      <c r="P691" s="1" t="s">
        <v>4379</v>
      </c>
      <c r="Q691" s="1">
        <v>2007</v>
      </c>
      <c r="R691" s="1" t="s">
        <v>4380</v>
      </c>
      <c r="S691" s="1" t="s">
        <v>27</v>
      </c>
      <c r="T691" s="6">
        <v>1</v>
      </c>
    </row>
    <row r="692" spans="1:170" x14ac:dyDescent="0.2">
      <c r="A692" s="1" t="s">
        <v>4419</v>
      </c>
      <c r="B692" s="1" t="s">
        <v>55</v>
      </c>
      <c r="C692" s="1" t="s">
        <v>4374</v>
      </c>
      <c r="E692" s="1">
        <v>11</v>
      </c>
      <c r="F692" s="1" t="s">
        <v>1313</v>
      </c>
      <c r="H692" s="1" t="s">
        <v>4420</v>
      </c>
      <c r="I692" s="1" t="s">
        <v>7</v>
      </c>
      <c r="J692" s="1" t="s">
        <v>4421</v>
      </c>
      <c r="K692" s="1" t="s">
        <v>1316</v>
      </c>
      <c r="L692" s="1" t="s">
        <v>1315</v>
      </c>
      <c r="P692" s="1" t="s">
        <v>4379</v>
      </c>
      <c r="Q692" s="1">
        <v>2007</v>
      </c>
      <c r="R692" s="1" t="s">
        <v>4380</v>
      </c>
      <c r="S692" s="1" t="s">
        <v>27</v>
      </c>
      <c r="T692" s="6">
        <v>1</v>
      </c>
    </row>
    <row r="693" spans="1:170" x14ac:dyDescent="0.2">
      <c r="A693" s="1" t="s">
        <v>4422</v>
      </c>
      <c r="B693" s="1" t="s">
        <v>55</v>
      </c>
      <c r="C693" s="1" t="s">
        <v>4423</v>
      </c>
      <c r="E693" s="1">
        <v>11</v>
      </c>
      <c r="F693" s="1" t="s">
        <v>4424</v>
      </c>
      <c r="G693" s="1" t="s">
        <v>4425</v>
      </c>
      <c r="H693" s="1" t="s">
        <v>4377</v>
      </c>
      <c r="I693" s="1" t="s">
        <v>7</v>
      </c>
      <c r="J693" s="1" t="s">
        <v>4426</v>
      </c>
      <c r="L693" s="1" t="s">
        <v>4427</v>
      </c>
      <c r="P693" s="1" t="s">
        <v>4379</v>
      </c>
      <c r="Q693" s="1">
        <v>2007</v>
      </c>
      <c r="R693" s="1" t="s">
        <v>4380</v>
      </c>
      <c r="S693" s="1" t="s">
        <v>27</v>
      </c>
      <c r="T693" s="6">
        <v>1</v>
      </c>
    </row>
    <row r="694" spans="1:170" x14ac:dyDescent="0.2">
      <c r="A694" s="1" t="s">
        <v>4428</v>
      </c>
      <c r="B694" s="1" t="s">
        <v>55</v>
      </c>
      <c r="C694" s="1" t="s">
        <v>4423</v>
      </c>
      <c r="E694" s="1">
        <v>11</v>
      </c>
      <c r="G694" s="1" t="s">
        <v>4429</v>
      </c>
      <c r="H694" s="1" t="s">
        <v>4377</v>
      </c>
      <c r="I694" s="1" t="s">
        <v>7</v>
      </c>
      <c r="J694" s="1" t="s">
        <v>4430</v>
      </c>
      <c r="P694" s="1" t="s">
        <v>4379</v>
      </c>
      <c r="Q694" s="1">
        <v>2007</v>
      </c>
      <c r="R694" s="1" t="s">
        <v>4380</v>
      </c>
      <c r="S694" s="1" t="s">
        <v>27</v>
      </c>
      <c r="T694" s="6">
        <v>1</v>
      </c>
    </row>
    <row r="695" spans="1:170" x14ac:dyDescent="0.2">
      <c r="A695" s="1" t="s">
        <v>4431</v>
      </c>
      <c r="B695" s="1" t="s">
        <v>55</v>
      </c>
      <c r="C695" s="1" t="s">
        <v>4423</v>
      </c>
      <c r="E695" s="1">
        <v>33</v>
      </c>
      <c r="F695" s="1" t="s">
        <v>4382</v>
      </c>
      <c r="G695" s="1" t="s">
        <v>4432</v>
      </c>
      <c r="H695" s="1" t="s">
        <v>4377</v>
      </c>
      <c r="I695" s="1" t="s">
        <v>7</v>
      </c>
      <c r="J695" s="1" t="s">
        <v>4433</v>
      </c>
      <c r="K695" s="1" t="s">
        <v>4385</v>
      </c>
      <c r="L695" s="1" t="s">
        <v>4386</v>
      </c>
      <c r="P695" s="1" t="s">
        <v>4379</v>
      </c>
      <c r="Q695" s="1">
        <v>2007</v>
      </c>
      <c r="R695" s="1" t="s">
        <v>4380</v>
      </c>
      <c r="S695" s="1" t="s">
        <v>27</v>
      </c>
      <c r="T695" s="6">
        <v>1</v>
      </c>
    </row>
    <row r="696" spans="1:170" x14ac:dyDescent="0.2">
      <c r="A696" s="1" t="s">
        <v>4434</v>
      </c>
      <c r="B696" s="1" t="s">
        <v>55</v>
      </c>
      <c r="C696" s="1" t="s">
        <v>4423</v>
      </c>
      <c r="E696" s="1">
        <v>11</v>
      </c>
      <c r="F696" s="1" t="s">
        <v>1721</v>
      </c>
      <c r="G696" s="1" t="s">
        <v>4435</v>
      </c>
      <c r="H696" s="1" t="s">
        <v>4377</v>
      </c>
      <c r="I696" s="1" t="s">
        <v>7</v>
      </c>
      <c r="J696" s="1" t="s">
        <v>4436</v>
      </c>
      <c r="K696" s="1" t="s">
        <v>2788</v>
      </c>
      <c r="L696" s="1" t="s">
        <v>1725</v>
      </c>
      <c r="P696" s="1" t="s">
        <v>4379</v>
      </c>
      <c r="Q696" s="1">
        <v>2007</v>
      </c>
      <c r="R696" s="1" t="s">
        <v>4380</v>
      </c>
      <c r="S696" s="1" t="s">
        <v>27</v>
      </c>
      <c r="T696" s="6">
        <v>1</v>
      </c>
    </row>
    <row r="697" spans="1:170" x14ac:dyDescent="0.2">
      <c r="A697" s="1" t="s">
        <v>4437</v>
      </c>
      <c r="B697" s="1" t="s">
        <v>55</v>
      </c>
      <c r="C697" s="1" t="s">
        <v>4423</v>
      </c>
      <c r="E697" s="1">
        <v>13</v>
      </c>
      <c r="F697" s="1" t="s">
        <v>4438</v>
      </c>
      <c r="H697" s="1" t="s">
        <v>4439</v>
      </c>
      <c r="I697" s="1" t="s">
        <v>7</v>
      </c>
      <c r="J697" s="1" t="s">
        <v>4440</v>
      </c>
      <c r="K697" s="1" t="s">
        <v>4441</v>
      </c>
      <c r="L697" s="1" t="s">
        <v>4440</v>
      </c>
      <c r="P697" s="1" t="s">
        <v>4379</v>
      </c>
      <c r="Q697" s="1">
        <v>2007</v>
      </c>
      <c r="R697" s="1" t="s">
        <v>4380</v>
      </c>
      <c r="S697" s="1" t="s">
        <v>27</v>
      </c>
      <c r="T697" s="6">
        <v>1</v>
      </c>
    </row>
    <row r="698" spans="1:170" x14ac:dyDescent="0.2">
      <c r="A698" s="1" t="s">
        <v>4442</v>
      </c>
      <c r="B698" s="1" t="s">
        <v>55</v>
      </c>
      <c r="C698" s="1" t="s">
        <v>4423</v>
      </c>
      <c r="E698" s="1">
        <v>13</v>
      </c>
      <c r="F698" s="1" t="s">
        <v>2441</v>
      </c>
      <c r="H698" s="1" t="s">
        <v>4443</v>
      </c>
      <c r="I698" s="1" t="s">
        <v>7</v>
      </c>
      <c r="J698" s="1" t="s">
        <v>2445</v>
      </c>
      <c r="L698" s="1" t="s">
        <v>2445</v>
      </c>
      <c r="P698" s="1" t="s">
        <v>4379</v>
      </c>
      <c r="Q698" s="1">
        <v>2007</v>
      </c>
      <c r="R698" s="1" t="s">
        <v>4380</v>
      </c>
      <c r="S698" s="1" t="s">
        <v>27</v>
      </c>
      <c r="T698" s="6">
        <v>1</v>
      </c>
    </row>
    <row r="699" spans="1:170" x14ac:dyDescent="0.2">
      <c r="A699" s="1" t="s">
        <v>4444</v>
      </c>
      <c r="B699" s="1" t="s">
        <v>55</v>
      </c>
      <c r="C699" s="1" t="s">
        <v>4445</v>
      </c>
      <c r="D699" s="1" t="s">
        <v>2</v>
      </c>
      <c r="E699" s="1">
        <v>23</v>
      </c>
      <c r="F699" s="1" t="s">
        <v>1472</v>
      </c>
      <c r="H699" s="1" t="s">
        <v>4446</v>
      </c>
      <c r="I699" s="1" t="s">
        <v>7</v>
      </c>
      <c r="J699" s="1" t="s">
        <v>1474</v>
      </c>
      <c r="K699" s="1" t="s">
        <v>1475</v>
      </c>
      <c r="L699" s="1" t="s">
        <v>1474</v>
      </c>
      <c r="M699" s="1" t="s">
        <v>4447</v>
      </c>
      <c r="N699" s="1" t="s">
        <v>4448</v>
      </c>
      <c r="P699" s="1" t="s">
        <v>1270</v>
      </c>
      <c r="Q699" s="1">
        <v>2007</v>
      </c>
      <c r="R699" s="1" t="s">
        <v>4449</v>
      </c>
      <c r="S699" s="1" t="s">
        <v>23</v>
      </c>
      <c r="T699" s="6">
        <v>1</v>
      </c>
      <c r="U699" s="1" t="s">
        <v>4450</v>
      </c>
      <c r="W699" s="1" t="s">
        <v>4358</v>
      </c>
      <c r="Y699" s="1">
        <v>0.77973912499999998</v>
      </c>
      <c r="Z699" s="1">
        <v>0.70065848600000002</v>
      </c>
      <c r="AD699" s="1">
        <v>0.87109523809523803</v>
      </c>
      <c r="AF699" s="1">
        <v>0.35105364579999998</v>
      </c>
      <c r="AG699" s="1">
        <v>0.180698254</v>
      </c>
      <c r="AW699" s="1">
        <v>0.14206343799999999</v>
      </c>
      <c r="BA699" s="1">
        <v>0.50889296699999997</v>
      </c>
      <c r="BG699" s="1">
        <v>0.117715455</v>
      </c>
      <c r="BI699" s="1">
        <v>1.1067265E-2</v>
      </c>
      <c r="BS699" s="1">
        <v>1.4286833000000001E-2</v>
      </c>
      <c r="CA699" s="1">
        <v>0.17124077300000001</v>
      </c>
      <c r="CQ699" s="1">
        <v>0.49903303999999998</v>
      </c>
      <c r="CZ699" s="1">
        <v>1.7103955000000001E-2</v>
      </c>
      <c r="DR699" s="1">
        <v>0.16057595399999999</v>
      </c>
      <c r="EV699" s="1">
        <v>3.0585896000000001E-2</v>
      </c>
      <c r="EZ699" s="1">
        <v>1.9921076999999999E-2</v>
      </c>
      <c r="FF699" s="1">
        <v>8.8538120000000008E-3</v>
      </c>
      <c r="FK699" s="1">
        <v>9.3166249000000007E-2</v>
      </c>
      <c r="FN699" s="1">
        <v>0.21893062399999999</v>
      </c>
    </row>
    <row r="700" spans="1:170" x14ac:dyDescent="0.2">
      <c r="A700" s="1" t="s">
        <v>4453</v>
      </c>
      <c r="B700" s="1" t="s">
        <v>55</v>
      </c>
      <c r="C700" s="1" t="s">
        <v>4445</v>
      </c>
      <c r="D700" s="1" t="s">
        <v>2</v>
      </c>
      <c r="E700" s="1">
        <v>23</v>
      </c>
      <c r="F700" s="1" t="s">
        <v>1472</v>
      </c>
      <c r="H700" s="1" t="s">
        <v>4454</v>
      </c>
      <c r="I700" s="1" t="s">
        <v>11</v>
      </c>
      <c r="J700" s="1" t="s">
        <v>1474</v>
      </c>
      <c r="K700" s="1" t="s">
        <v>1475</v>
      </c>
      <c r="L700" s="1" t="s">
        <v>1474</v>
      </c>
      <c r="M700" s="1" t="s">
        <v>4447</v>
      </c>
      <c r="N700" s="1" t="s">
        <v>4455</v>
      </c>
      <c r="P700" s="1" t="s">
        <v>1270</v>
      </c>
      <c r="Q700" s="1">
        <v>2007</v>
      </c>
      <c r="R700" s="1" t="s">
        <v>4449</v>
      </c>
      <c r="S700" s="1" t="s">
        <v>23</v>
      </c>
      <c r="T700" s="6">
        <v>1</v>
      </c>
      <c r="U700" s="1" t="s">
        <v>4456</v>
      </c>
      <c r="W700" s="1" t="s">
        <v>4458</v>
      </c>
      <c r="Y700" s="1">
        <v>1.8335134399999999</v>
      </c>
      <c r="Z700" s="1">
        <v>1.9193958600000001</v>
      </c>
      <c r="AD700" s="1">
        <v>0.90746428571428595</v>
      </c>
      <c r="AF700" s="1">
        <v>0.84561151999999995</v>
      </c>
      <c r="AG700" s="1">
        <v>0.47870555999999997</v>
      </c>
      <c r="AU700" s="1">
        <v>1.168814E-2</v>
      </c>
      <c r="AW700" s="1">
        <v>0.35267692</v>
      </c>
      <c r="BA700" s="1">
        <v>1.1993047999999999</v>
      </c>
      <c r="BG700" s="1">
        <v>0.25917180000000001</v>
      </c>
      <c r="BI700" s="1">
        <v>2.9982620000000001E-2</v>
      </c>
      <c r="BS700" s="1">
        <v>3.7605319999999998E-2</v>
      </c>
      <c r="CA700" s="1">
        <v>0.45431292000000001</v>
      </c>
      <c r="CQ700" s="1">
        <v>1.36293876</v>
      </c>
      <c r="CZ700" s="1">
        <v>1.372086E-2</v>
      </c>
      <c r="DR700" s="1">
        <v>0.39841312000000001</v>
      </c>
      <c r="EV700" s="1">
        <v>5.2850719999999997E-2</v>
      </c>
      <c r="EZ700" s="1">
        <v>8.0292440000000007E-2</v>
      </c>
      <c r="FF700" s="1">
        <v>3.3539880000000001E-2</v>
      </c>
      <c r="FK700" s="1">
        <v>0.20733744000000001</v>
      </c>
      <c r="FN700" s="1">
        <v>0.55544073999999999</v>
      </c>
    </row>
    <row r="701" spans="1:170" x14ac:dyDescent="0.2">
      <c r="A701" s="1" t="s">
        <v>4460</v>
      </c>
      <c r="B701" s="1" t="s">
        <v>55</v>
      </c>
      <c r="C701" s="1" t="s">
        <v>4445</v>
      </c>
      <c r="D701" s="1" t="s">
        <v>2</v>
      </c>
      <c r="E701" s="1">
        <v>23</v>
      </c>
      <c r="F701" s="1" t="s">
        <v>1472</v>
      </c>
      <c r="H701" s="1" t="s">
        <v>4461</v>
      </c>
      <c r="I701" s="1" t="s">
        <v>11</v>
      </c>
      <c r="J701" s="1" t="s">
        <v>1474</v>
      </c>
      <c r="K701" s="1" t="s">
        <v>1475</v>
      </c>
      <c r="L701" s="1" t="s">
        <v>1474</v>
      </c>
      <c r="M701" s="1" t="s">
        <v>4447</v>
      </c>
      <c r="N701" s="1" t="s">
        <v>4448</v>
      </c>
      <c r="P701" s="1" t="s">
        <v>1270</v>
      </c>
      <c r="Q701" s="1">
        <v>2007</v>
      </c>
      <c r="R701" s="1" t="s">
        <v>4449</v>
      </c>
      <c r="S701" s="1" t="s">
        <v>23</v>
      </c>
      <c r="T701" s="6">
        <v>1</v>
      </c>
      <c r="U701" s="1">
        <v>58.92</v>
      </c>
      <c r="W701" s="1">
        <v>7.87</v>
      </c>
      <c r="Y701" s="1">
        <v>2.5796560930000001</v>
      </c>
      <c r="Z701" s="1">
        <v>2.6559730190000002</v>
      </c>
      <c r="AD701" s="1">
        <v>0.91482973316391403</v>
      </c>
      <c r="AF701" s="1">
        <v>1.27434867</v>
      </c>
      <c r="AG701" s="1">
        <v>0.68685233400000001</v>
      </c>
      <c r="AU701" s="1">
        <v>7.0557157999999995E-2</v>
      </c>
      <c r="AW701" s="1">
        <v>0.45646161400000002</v>
      </c>
      <c r="BA701" s="1">
        <v>1.6314542860000001</v>
      </c>
      <c r="BG701" s="1">
        <v>0.38230460100000002</v>
      </c>
      <c r="BI701" s="1">
        <v>7.0557157999999995E-2</v>
      </c>
      <c r="BS701" s="1">
        <v>4.8238057000000001E-2</v>
      </c>
      <c r="CA701" s="1">
        <v>0.59757592999999998</v>
      </c>
      <c r="CQ701" s="1">
        <v>1.901443411</v>
      </c>
      <c r="CZ701" s="1">
        <v>2.3039072000000001E-2</v>
      </c>
      <c r="DR701" s="1">
        <v>0.59037622000000001</v>
      </c>
      <c r="EV701" s="1">
        <v>9.0716346000000003E-2</v>
      </c>
      <c r="EZ701" s="1">
        <v>9.6476114000000002E-2</v>
      </c>
      <c r="FF701" s="1">
        <v>4.1758318000000003E-2</v>
      </c>
      <c r="FK701" s="1">
        <v>0.32686683399999999</v>
      </c>
      <c r="FN701" s="1">
        <v>0.81500717199999995</v>
      </c>
    </row>
    <row r="702" spans="1:170" x14ac:dyDescent="0.2">
      <c r="A702" s="1" t="s">
        <v>4462</v>
      </c>
      <c r="B702" s="1" t="s">
        <v>57</v>
      </c>
      <c r="C702" s="1" t="s">
        <v>4463</v>
      </c>
      <c r="D702" s="1" t="s">
        <v>2</v>
      </c>
      <c r="E702" s="1">
        <v>56</v>
      </c>
      <c r="F702" s="1" t="s">
        <v>4464</v>
      </c>
      <c r="H702" s="1" t="s">
        <v>4465</v>
      </c>
      <c r="I702" s="1" t="s">
        <v>7</v>
      </c>
      <c r="J702" s="1" t="s">
        <v>4466</v>
      </c>
      <c r="K702" s="1" t="s">
        <v>4467</v>
      </c>
      <c r="L702" s="1" t="s">
        <v>4466</v>
      </c>
      <c r="M702" s="1" t="s">
        <v>4468</v>
      </c>
      <c r="P702" s="1" t="s">
        <v>4469</v>
      </c>
      <c r="Q702" s="1">
        <v>2011</v>
      </c>
      <c r="R702" s="1" t="s">
        <v>4470</v>
      </c>
      <c r="S702" s="1" t="s">
        <v>23</v>
      </c>
      <c r="T702" s="6">
        <v>1</v>
      </c>
      <c r="U702" s="1">
        <v>85.96</v>
      </c>
      <c r="V702" s="1">
        <v>2.25</v>
      </c>
    </row>
    <row r="703" spans="1:170" x14ac:dyDescent="0.2">
      <c r="A703" s="1" t="s">
        <v>4471</v>
      </c>
      <c r="B703" s="1" t="s">
        <v>57</v>
      </c>
      <c r="C703" s="1" t="s">
        <v>4463</v>
      </c>
      <c r="D703" s="1" t="s">
        <v>2</v>
      </c>
      <c r="E703" s="1">
        <v>56</v>
      </c>
      <c r="F703" s="1" t="s">
        <v>4464</v>
      </c>
      <c r="H703" s="1" t="s">
        <v>4465</v>
      </c>
      <c r="I703" s="1" t="s">
        <v>7</v>
      </c>
      <c r="J703" s="1" t="s">
        <v>4466</v>
      </c>
      <c r="K703" s="1" t="s">
        <v>4467</v>
      </c>
      <c r="L703" s="1" t="s">
        <v>4466</v>
      </c>
      <c r="M703" s="1" t="s">
        <v>4472</v>
      </c>
      <c r="P703" s="1" t="s">
        <v>4469</v>
      </c>
      <c r="Q703" s="1">
        <v>2011</v>
      </c>
      <c r="R703" s="1" t="s">
        <v>4470</v>
      </c>
      <c r="S703" s="1" t="s">
        <v>23</v>
      </c>
      <c r="T703" s="6">
        <v>1</v>
      </c>
      <c r="U703" s="1">
        <v>83.84</v>
      </c>
      <c r="V703" s="1">
        <v>1.71</v>
      </c>
    </row>
    <row r="704" spans="1:170" x14ac:dyDescent="0.2">
      <c r="A704" s="1" t="s">
        <v>4473</v>
      </c>
      <c r="B704" s="1" t="s">
        <v>57</v>
      </c>
      <c r="C704" s="1" t="s">
        <v>4463</v>
      </c>
      <c r="D704" s="1" t="s">
        <v>2</v>
      </c>
      <c r="E704" s="1">
        <v>56</v>
      </c>
      <c r="F704" s="1" t="s">
        <v>4464</v>
      </c>
      <c r="H704" s="1" t="s">
        <v>4465</v>
      </c>
      <c r="I704" s="1" t="s">
        <v>7</v>
      </c>
      <c r="J704" s="1" t="s">
        <v>4466</v>
      </c>
      <c r="K704" s="1" t="s">
        <v>4467</v>
      </c>
      <c r="L704" s="1" t="s">
        <v>4466</v>
      </c>
      <c r="M704" s="1" t="s">
        <v>4474</v>
      </c>
      <c r="P704" s="1" t="s">
        <v>4469</v>
      </c>
      <c r="Q704" s="1">
        <v>2011</v>
      </c>
      <c r="R704" s="1" t="s">
        <v>4470</v>
      </c>
      <c r="S704" s="1" t="s">
        <v>23</v>
      </c>
      <c r="T704" s="6">
        <v>1</v>
      </c>
      <c r="U704" s="1">
        <v>85.87</v>
      </c>
      <c r="V704" s="1">
        <v>0.2</v>
      </c>
    </row>
    <row r="705" spans="1:170" x14ac:dyDescent="0.2">
      <c r="A705" s="1" t="s">
        <v>4475</v>
      </c>
      <c r="B705" s="1" t="s">
        <v>57</v>
      </c>
      <c r="C705" s="1" t="s">
        <v>4463</v>
      </c>
      <c r="D705" s="1" t="s">
        <v>2</v>
      </c>
      <c r="E705" s="1">
        <v>56</v>
      </c>
      <c r="F705" s="1" t="s">
        <v>4464</v>
      </c>
      <c r="H705" s="1" t="s">
        <v>4465</v>
      </c>
      <c r="I705" s="1" t="s">
        <v>7</v>
      </c>
      <c r="J705" s="1" t="s">
        <v>4466</v>
      </c>
      <c r="K705" s="1" t="s">
        <v>4467</v>
      </c>
      <c r="L705" s="1" t="s">
        <v>4466</v>
      </c>
      <c r="M705" s="1" t="s">
        <v>2071</v>
      </c>
      <c r="P705" s="1" t="s">
        <v>4469</v>
      </c>
      <c r="Q705" s="1">
        <v>2011</v>
      </c>
      <c r="R705" s="1" t="s">
        <v>4470</v>
      </c>
      <c r="S705" s="1" t="s">
        <v>23</v>
      </c>
      <c r="T705" s="6">
        <v>1</v>
      </c>
      <c r="U705" s="1" t="s">
        <v>4476</v>
      </c>
      <c r="V705" s="1" t="s">
        <v>4478</v>
      </c>
    </row>
    <row r="706" spans="1:170" x14ac:dyDescent="0.2">
      <c r="A706" s="1" t="s">
        <v>4481</v>
      </c>
      <c r="B706" s="1" t="s">
        <v>57</v>
      </c>
      <c r="C706" s="1" t="s">
        <v>4463</v>
      </c>
      <c r="D706" s="1" t="s">
        <v>2</v>
      </c>
      <c r="E706" s="1">
        <v>56</v>
      </c>
      <c r="F706" s="1" t="s">
        <v>4464</v>
      </c>
      <c r="H706" s="1" t="s">
        <v>4465</v>
      </c>
      <c r="I706" s="1" t="s">
        <v>7</v>
      </c>
      <c r="J706" s="1" t="s">
        <v>4466</v>
      </c>
      <c r="K706" s="1" t="s">
        <v>4467</v>
      </c>
      <c r="L706" s="1" t="s">
        <v>4466</v>
      </c>
      <c r="M706" s="1" t="s">
        <v>4482</v>
      </c>
      <c r="P706" s="1" t="s">
        <v>4469</v>
      </c>
      <c r="Q706" s="1">
        <v>2011</v>
      </c>
      <c r="R706" s="1" t="s">
        <v>4470</v>
      </c>
      <c r="S706" s="1" t="s">
        <v>23</v>
      </c>
      <c r="T706" s="6">
        <v>1</v>
      </c>
      <c r="U706" s="1">
        <v>83.59</v>
      </c>
      <c r="V706" s="1">
        <v>1.22</v>
      </c>
    </row>
    <row r="707" spans="1:170" x14ac:dyDescent="0.2">
      <c r="A707" s="1" t="s">
        <v>4483</v>
      </c>
      <c r="B707" s="1" t="s">
        <v>57</v>
      </c>
      <c r="C707" s="1" t="s">
        <v>4463</v>
      </c>
      <c r="D707" s="1" t="s">
        <v>2</v>
      </c>
      <c r="E707" s="1">
        <v>56</v>
      </c>
      <c r="F707" s="1" t="s">
        <v>4464</v>
      </c>
      <c r="H707" s="1" t="s">
        <v>4465</v>
      </c>
      <c r="I707" s="1" t="s">
        <v>7</v>
      </c>
      <c r="J707" s="1" t="s">
        <v>4466</v>
      </c>
      <c r="K707" s="1" t="s">
        <v>4467</v>
      </c>
      <c r="L707" s="1" t="s">
        <v>4466</v>
      </c>
      <c r="M707" s="1" t="s">
        <v>4484</v>
      </c>
      <c r="P707" s="1" t="s">
        <v>4469</v>
      </c>
      <c r="Q707" s="1">
        <v>2011</v>
      </c>
      <c r="R707" s="1" t="s">
        <v>4470</v>
      </c>
      <c r="S707" s="1" t="s">
        <v>23</v>
      </c>
      <c r="T707" s="6">
        <v>1</v>
      </c>
      <c r="U707" s="1">
        <v>82.55</v>
      </c>
      <c r="V707" s="1">
        <v>0.53</v>
      </c>
    </row>
    <row r="708" spans="1:170" x14ac:dyDescent="0.2">
      <c r="A708" s="1" t="s">
        <v>4485</v>
      </c>
      <c r="B708" s="1" t="s">
        <v>57</v>
      </c>
      <c r="C708" s="1" t="s">
        <v>4463</v>
      </c>
      <c r="D708" s="1" t="s">
        <v>2</v>
      </c>
      <c r="E708" s="1">
        <v>56</v>
      </c>
      <c r="F708" s="1" t="s">
        <v>4464</v>
      </c>
      <c r="H708" s="1" t="s">
        <v>4465</v>
      </c>
      <c r="I708" s="1" t="s">
        <v>7</v>
      </c>
      <c r="J708" s="1" t="s">
        <v>4466</v>
      </c>
      <c r="K708" s="1" t="s">
        <v>4467</v>
      </c>
      <c r="L708" s="1" t="s">
        <v>4466</v>
      </c>
      <c r="M708" s="1" t="s">
        <v>4486</v>
      </c>
      <c r="P708" s="1" t="s">
        <v>4469</v>
      </c>
      <c r="Q708" s="1">
        <v>2011</v>
      </c>
      <c r="R708" s="1" t="s">
        <v>4470</v>
      </c>
      <c r="S708" s="1" t="s">
        <v>23</v>
      </c>
      <c r="T708" s="6">
        <v>1</v>
      </c>
      <c r="U708" s="1">
        <v>84.51</v>
      </c>
      <c r="V708" s="1">
        <v>0.87</v>
      </c>
    </row>
    <row r="709" spans="1:170" x14ac:dyDescent="0.2">
      <c r="A709" s="1" t="s">
        <v>4487</v>
      </c>
      <c r="B709" s="1" t="s">
        <v>57</v>
      </c>
      <c r="C709" s="1" t="s">
        <v>4463</v>
      </c>
      <c r="D709" s="1" t="s">
        <v>2</v>
      </c>
      <c r="E709" s="1">
        <v>56</v>
      </c>
      <c r="F709" s="1" t="s">
        <v>4464</v>
      </c>
      <c r="H709" s="1" t="s">
        <v>4465</v>
      </c>
      <c r="I709" s="1" t="s">
        <v>7</v>
      </c>
      <c r="J709" s="1" t="s">
        <v>4466</v>
      </c>
      <c r="K709" s="1" t="s">
        <v>4467</v>
      </c>
      <c r="L709" s="1" t="s">
        <v>4466</v>
      </c>
      <c r="M709" s="1" t="s">
        <v>4488</v>
      </c>
      <c r="P709" s="1" t="s">
        <v>4469</v>
      </c>
      <c r="Q709" s="1">
        <v>2011</v>
      </c>
      <c r="R709" s="1" t="s">
        <v>4470</v>
      </c>
      <c r="S709" s="1" t="s">
        <v>23</v>
      </c>
      <c r="T709" s="6">
        <v>1</v>
      </c>
      <c r="U709" s="1">
        <v>84.61</v>
      </c>
      <c r="V709" s="1">
        <v>0.72</v>
      </c>
    </row>
    <row r="710" spans="1:170" x14ac:dyDescent="0.2">
      <c r="A710" s="1" t="s">
        <v>4489</v>
      </c>
      <c r="B710" s="1" t="s">
        <v>57</v>
      </c>
      <c r="C710" s="1" t="s">
        <v>4463</v>
      </c>
      <c r="D710" s="1" t="s">
        <v>2</v>
      </c>
      <c r="E710" s="1">
        <v>56</v>
      </c>
      <c r="F710" s="1" t="s">
        <v>4464</v>
      </c>
      <c r="H710" s="1" t="s">
        <v>4465</v>
      </c>
      <c r="I710" s="1" t="s">
        <v>7</v>
      </c>
      <c r="J710" s="1" t="s">
        <v>4466</v>
      </c>
      <c r="K710" s="1" t="s">
        <v>4467</v>
      </c>
      <c r="L710" s="1" t="s">
        <v>4466</v>
      </c>
      <c r="M710" s="1" t="s">
        <v>4490</v>
      </c>
      <c r="P710" s="1" t="s">
        <v>4469</v>
      </c>
      <c r="Q710" s="1">
        <v>2011</v>
      </c>
      <c r="R710" s="1" t="s">
        <v>4470</v>
      </c>
      <c r="S710" s="1" t="s">
        <v>23</v>
      </c>
      <c r="T710" s="6">
        <v>1</v>
      </c>
      <c r="U710" s="1">
        <v>84.43</v>
      </c>
      <c r="V710" s="1">
        <v>1.23</v>
      </c>
    </row>
    <row r="711" spans="1:170" x14ac:dyDescent="0.2">
      <c r="A711" s="1" t="s">
        <v>4491</v>
      </c>
      <c r="B711" s="1" t="s">
        <v>57</v>
      </c>
      <c r="C711" s="1" t="s">
        <v>4463</v>
      </c>
      <c r="D711" s="1" t="s">
        <v>2</v>
      </c>
      <c r="E711" s="1">
        <v>56</v>
      </c>
      <c r="F711" s="1" t="s">
        <v>4464</v>
      </c>
      <c r="H711" s="1" t="s">
        <v>4465</v>
      </c>
      <c r="I711" s="1" t="s">
        <v>7</v>
      </c>
      <c r="J711" s="1" t="s">
        <v>4466</v>
      </c>
      <c r="K711" s="1" t="s">
        <v>4467</v>
      </c>
      <c r="L711" s="1" t="s">
        <v>4466</v>
      </c>
      <c r="M711" s="1" t="s">
        <v>4492</v>
      </c>
      <c r="P711" s="1" t="s">
        <v>4469</v>
      </c>
      <c r="Q711" s="1">
        <v>2011</v>
      </c>
      <c r="R711" s="1" t="s">
        <v>4470</v>
      </c>
      <c r="S711" s="1" t="s">
        <v>23</v>
      </c>
      <c r="T711" s="6">
        <v>1</v>
      </c>
      <c r="U711" s="1">
        <v>86.37</v>
      </c>
      <c r="V711" s="1">
        <v>0.26</v>
      </c>
    </row>
    <row r="712" spans="1:170" x14ac:dyDescent="0.2">
      <c r="A712" s="1" t="s">
        <v>4493</v>
      </c>
      <c r="B712" s="1" t="s">
        <v>57</v>
      </c>
      <c r="C712" s="1" t="s">
        <v>4463</v>
      </c>
      <c r="D712" s="1" t="s">
        <v>2</v>
      </c>
      <c r="E712" s="1">
        <v>56</v>
      </c>
      <c r="F712" s="1" t="s">
        <v>4464</v>
      </c>
      <c r="H712" s="1" t="s">
        <v>4465</v>
      </c>
      <c r="I712" s="1" t="s">
        <v>7</v>
      </c>
      <c r="J712" s="1" t="s">
        <v>4466</v>
      </c>
      <c r="K712" s="1" t="s">
        <v>4467</v>
      </c>
      <c r="L712" s="1" t="s">
        <v>4466</v>
      </c>
      <c r="M712" s="1" t="s">
        <v>4494</v>
      </c>
      <c r="P712" s="1" t="s">
        <v>4469</v>
      </c>
      <c r="Q712" s="1">
        <v>2011</v>
      </c>
      <c r="R712" s="1" t="s">
        <v>4470</v>
      </c>
      <c r="S712" s="1" t="s">
        <v>23</v>
      </c>
      <c r="T712" s="6">
        <v>1</v>
      </c>
      <c r="U712" s="1">
        <v>86.85</v>
      </c>
      <c r="V712" s="1">
        <v>0.48</v>
      </c>
    </row>
    <row r="713" spans="1:170" x14ac:dyDescent="0.2">
      <c r="A713" s="1" t="s">
        <v>4495</v>
      </c>
      <c r="B713" s="1" t="s">
        <v>57</v>
      </c>
      <c r="C713" s="1" t="s">
        <v>4463</v>
      </c>
      <c r="D713" s="1" t="s">
        <v>2</v>
      </c>
      <c r="E713" s="1">
        <v>56</v>
      </c>
      <c r="F713" s="1" t="s">
        <v>4464</v>
      </c>
      <c r="H713" s="1" t="s">
        <v>4465</v>
      </c>
      <c r="I713" s="1" t="s">
        <v>7</v>
      </c>
      <c r="J713" s="1" t="s">
        <v>4466</v>
      </c>
      <c r="K713" s="1" t="s">
        <v>4467</v>
      </c>
      <c r="L713" s="1" t="s">
        <v>4466</v>
      </c>
      <c r="M713" s="1" t="s">
        <v>4496</v>
      </c>
      <c r="P713" s="1" t="s">
        <v>4469</v>
      </c>
      <c r="Q713" s="1">
        <v>2011</v>
      </c>
      <c r="R713" s="1" t="s">
        <v>4470</v>
      </c>
      <c r="S713" s="1" t="s">
        <v>23</v>
      </c>
      <c r="T713" s="6">
        <v>1</v>
      </c>
      <c r="U713" s="1">
        <v>86.33</v>
      </c>
      <c r="V713" s="1">
        <v>0.36</v>
      </c>
    </row>
    <row r="714" spans="1:170" x14ac:dyDescent="0.2">
      <c r="A714" s="1" t="s">
        <v>4497</v>
      </c>
      <c r="B714" s="1" t="s">
        <v>55</v>
      </c>
      <c r="C714" s="1" t="s">
        <v>4498</v>
      </c>
      <c r="D714" s="1" t="s">
        <v>2</v>
      </c>
      <c r="E714" s="1">
        <v>13</v>
      </c>
      <c r="F714" s="1" t="s">
        <v>4499</v>
      </c>
      <c r="H714" s="1" t="s">
        <v>4500</v>
      </c>
      <c r="I714" s="1" t="s">
        <v>7</v>
      </c>
      <c r="J714" s="1" t="s">
        <v>4501</v>
      </c>
      <c r="K714" s="1" t="s">
        <v>4502</v>
      </c>
      <c r="L714" s="1" t="s">
        <v>4503</v>
      </c>
      <c r="M714" s="1" t="s">
        <v>4504</v>
      </c>
      <c r="N714" s="1" t="s">
        <v>4505</v>
      </c>
      <c r="P714" s="1" t="s">
        <v>1270</v>
      </c>
      <c r="Q714" s="1">
        <v>2006</v>
      </c>
      <c r="R714" s="1" t="s">
        <v>4506</v>
      </c>
      <c r="S714" s="1" t="s">
        <v>23</v>
      </c>
      <c r="T714" s="6">
        <v>1</v>
      </c>
      <c r="V714" s="1">
        <v>1.1599999999999999</v>
      </c>
      <c r="Y714" s="1">
        <v>0.26111983999999999</v>
      </c>
      <c r="Z714" s="1">
        <v>0.15498120000000001</v>
      </c>
      <c r="AD714" s="1">
        <v>0.80972413793103404</v>
      </c>
      <c r="AF714" s="1">
        <v>0.34377648</v>
      </c>
      <c r="AG714" s="1">
        <v>0.16531328000000001</v>
      </c>
      <c r="AW714" s="1">
        <v>1.502848E-2</v>
      </c>
      <c r="BA714" s="1">
        <v>0.18691672000000001</v>
      </c>
      <c r="BG714" s="1">
        <v>4.6024719999999998E-2</v>
      </c>
      <c r="CA714" s="1">
        <v>5.6356799999999999E-2</v>
      </c>
      <c r="CQ714" s="1">
        <v>9.3927999999999998E-2</v>
      </c>
      <c r="CZ714" s="1">
        <v>3.7571200000000001E-3</v>
      </c>
      <c r="DD714" s="1">
        <v>0</v>
      </c>
      <c r="DN714" s="1">
        <v>5.6356799999999999E-2</v>
      </c>
      <c r="EH714" s="1">
        <v>3.2874800000000003E-2</v>
      </c>
      <c r="ET714" s="1">
        <v>2.8178399999999998E-3</v>
      </c>
      <c r="EX714" s="1">
        <v>0.10050296</v>
      </c>
      <c r="FE714" s="1">
        <v>9.674584E-2</v>
      </c>
      <c r="FM714" s="1">
        <v>0.20006663999999999</v>
      </c>
    </row>
    <row r="715" spans="1:170" x14ac:dyDescent="0.2">
      <c r="A715" s="1" t="s">
        <v>4507</v>
      </c>
      <c r="B715" s="1" t="s">
        <v>55</v>
      </c>
      <c r="C715" s="1" t="s">
        <v>4508</v>
      </c>
      <c r="D715" s="1" t="s">
        <v>2</v>
      </c>
      <c r="E715" s="1">
        <v>13</v>
      </c>
      <c r="F715" s="1" t="s">
        <v>4499</v>
      </c>
      <c r="H715" s="1" t="s">
        <v>4509</v>
      </c>
      <c r="I715" s="1" t="s">
        <v>7</v>
      </c>
      <c r="J715" s="1" t="s">
        <v>4501</v>
      </c>
      <c r="K715" s="1" t="s">
        <v>4502</v>
      </c>
      <c r="L715" s="1" t="s">
        <v>4503</v>
      </c>
      <c r="M715" s="1" t="s">
        <v>4504</v>
      </c>
      <c r="N715" s="1" t="s">
        <v>4510</v>
      </c>
      <c r="P715" s="1" t="s">
        <v>1270</v>
      </c>
      <c r="Q715" s="1">
        <v>2006</v>
      </c>
      <c r="R715" s="1" t="s">
        <v>4506</v>
      </c>
      <c r="S715" s="1" t="s">
        <v>23</v>
      </c>
      <c r="T715" s="6">
        <v>1</v>
      </c>
      <c r="V715" s="1">
        <v>1.26</v>
      </c>
      <c r="Y715" s="1">
        <v>0.27569885999999999</v>
      </c>
      <c r="Z715" s="1">
        <v>0.17966892000000001</v>
      </c>
      <c r="AD715" s="1">
        <v>0.81950793650793696</v>
      </c>
      <c r="AF715" s="1">
        <v>0.50389903999999996</v>
      </c>
      <c r="AG715" s="1">
        <v>7.22806E-2</v>
      </c>
      <c r="AW715" s="1">
        <v>2.1684180000000001E-2</v>
      </c>
      <c r="BA715" s="1">
        <v>0.20858115999999999</v>
      </c>
      <c r="BG715" s="1">
        <v>3.7172879999999998E-2</v>
      </c>
      <c r="CA715" s="1">
        <v>5.266158E-2</v>
      </c>
      <c r="CQ715" s="1">
        <v>0.10738832</v>
      </c>
      <c r="CZ715" s="1">
        <v>1.8586439999999999E-2</v>
      </c>
      <c r="DD715" s="1">
        <v>7.2280599999999997E-3</v>
      </c>
      <c r="DN715" s="1">
        <v>4.7498680000000001E-2</v>
      </c>
      <c r="EH715" s="1">
        <v>1.6521279999999999E-2</v>
      </c>
      <c r="ET715" s="1">
        <v>4.1303199999999998E-3</v>
      </c>
      <c r="EX715" s="1">
        <v>1.9619020000000001E-2</v>
      </c>
      <c r="FE715" s="1">
        <v>9.4997360000000003E-2</v>
      </c>
      <c r="FM715" s="1">
        <v>0.38102202000000002</v>
      </c>
    </row>
    <row r="716" spans="1:170" x14ac:dyDescent="0.2">
      <c r="A716" s="1" t="s">
        <v>4511</v>
      </c>
      <c r="B716" s="1" t="s">
        <v>55</v>
      </c>
      <c r="C716" s="1" t="s">
        <v>4512</v>
      </c>
      <c r="D716" s="1" t="s">
        <v>2</v>
      </c>
      <c r="E716" s="1">
        <v>13</v>
      </c>
      <c r="F716" s="1" t="s">
        <v>4499</v>
      </c>
      <c r="H716" s="1" t="s">
        <v>4513</v>
      </c>
      <c r="I716" s="1" t="s">
        <v>7</v>
      </c>
      <c r="J716" s="1" t="s">
        <v>4501</v>
      </c>
      <c r="K716" s="1" t="s">
        <v>4502</v>
      </c>
      <c r="L716" s="1" t="s">
        <v>4503</v>
      </c>
      <c r="M716" s="1" t="s">
        <v>4504</v>
      </c>
      <c r="N716" s="1" t="s">
        <v>4514</v>
      </c>
      <c r="P716" s="1" t="s">
        <v>1270</v>
      </c>
      <c r="Q716" s="1">
        <v>2006</v>
      </c>
      <c r="R716" s="1" t="s">
        <v>4506</v>
      </c>
      <c r="S716" s="1" t="s">
        <v>23</v>
      </c>
      <c r="T716" s="6">
        <v>1</v>
      </c>
      <c r="V716" s="1">
        <v>1.48</v>
      </c>
      <c r="Y716" s="1">
        <v>0.31069784</v>
      </c>
      <c r="Z716" s="1">
        <v>0.2351896</v>
      </c>
      <c r="AD716" s="1">
        <v>0.83637837837837803</v>
      </c>
      <c r="AF716" s="1">
        <v>0.58426047999999997</v>
      </c>
      <c r="AG716" s="1">
        <v>0.1052164</v>
      </c>
      <c r="AW716" s="1">
        <v>2.9708160000000001E-2</v>
      </c>
      <c r="BA716" s="1">
        <v>0.21909767999999999</v>
      </c>
      <c r="BG716" s="1">
        <v>5.0751440000000002E-2</v>
      </c>
      <c r="CA716" s="1">
        <v>5.9416320000000002E-2</v>
      </c>
      <c r="CQ716" s="1">
        <v>0.14235159999999999</v>
      </c>
      <c r="CZ716" s="1">
        <v>2.9708160000000001E-2</v>
      </c>
      <c r="DD716" s="1">
        <v>1.732976E-2</v>
      </c>
      <c r="DN716" s="1">
        <v>7.3032559999999996E-2</v>
      </c>
      <c r="EH716" s="1">
        <v>1.732976E-2</v>
      </c>
      <c r="ET716" s="1">
        <v>1.2378399999999999E-2</v>
      </c>
      <c r="EX716" s="1">
        <v>2.3518959999999998E-2</v>
      </c>
      <c r="FE716" s="1">
        <v>0.13492456</v>
      </c>
      <c r="FM716" s="1">
        <v>0.40848719999999999</v>
      </c>
    </row>
    <row r="717" spans="1:170" x14ac:dyDescent="0.2">
      <c r="A717" s="1" t="s">
        <v>4515</v>
      </c>
      <c r="B717" s="1" t="s">
        <v>55</v>
      </c>
      <c r="C717" s="1" t="s">
        <v>4516</v>
      </c>
      <c r="E717" s="1">
        <v>35</v>
      </c>
      <c r="F717" s="1" t="s">
        <v>4517</v>
      </c>
      <c r="G717" s="1" t="s">
        <v>4518</v>
      </c>
      <c r="H717" s="1" t="s">
        <v>4519</v>
      </c>
      <c r="I717" s="1" t="s">
        <v>7</v>
      </c>
      <c r="J717" s="1" t="s">
        <v>4520</v>
      </c>
      <c r="K717" s="1" t="s">
        <v>4521</v>
      </c>
      <c r="L717" s="1" t="s">
        <v>4520</v>
      </c>
      <c r="M717" s="1" t="s">
        <v>4522</v>
      </c>
      <c r="N717" s="1" t="s">
        <v>4523</v>
      </c>
      <c r="O717" s="1" t="s">
        <v>4518</v>
      </c>
      <c r="P717" s="1" t="s">
        <v>1270</v>
      </c>
      <c r="Q717" s="1">
        <v>2003</v>
      </c>
      <c r="R717" s="1" t="s">
        <v>4524</v>
      </c>
      <c r="S717" s="1" t="s">
        <v>23</v>
      </c>
      <c r="T717" s="6">
        <v>1</v>
      </c>
      <c r="V717" s="1">
        <v>4</v>
      </c>
      <c r="AD717" s="1">
        <v>0.89724999999999999</v>
      </c>
      <c r="AF717" s="1">
        <v>0.48092600000000002</v>
      </c>
      <c r="AG717" s="1">
        <v>9.2955099999999999E-2</v>
      </c>
      <c r="AW717" s="1">
        <v>0.1643762</v>
      </c>
      <c r="AY717" s="1">
        <v>3.9478999999999998E-3</v>
      </c>
      <c r="BA717" s="1">
        <v>1.6796519999999999</v>
      </c>
      <c r="BD717" s="1">
        <v>5.4193900000000003E-2</v>
      </c>
      <c r="BG717" s="1">
        <v>0.31654979999999999</v>
      </c>
      <c r="CA717" s="1">
        <v>0.12848619999999999</v>
      </c>
      <c r="CF717" s="1">
        <v>7.2497800000000001E-2</v>
      </c>
      <c r="CJ717" s="1">
        <v>5.2758300000000001E-2</v>
      </c>
      <c r="CQ717" s="1">
        <v>0.52040500000000001</v>
      </c>
      <c r="DL717" s="1">
        <v>8.2547000000000002E-3</v>
      </c>
      <c r="DR717" s="1">
        <v>8.9724999999999996E-3</v>
      </c>
      <c r="DV717" s="1">
        <v>5.7423999999999999E-3</v>
      </c>
      <c r="DY717" s="1">
        <v>6.9985500000000006E-2</v>
      </c>
      <c r="EL717" s="1">
        <v>1.0767000000000001E-2</v>
      </c>
      <c r="FF717" s="1">
        <v>0.10838780000000001</v>
      </c>
      <c r="FN717" s="1">
        <v>0.36248900000000001</v>
      </c>
    </row>
    <row r="718" spans="1:170" x14ac:dyDescent="0.2">
      <c r="A718" s="1" t="s">
        <v>4525</v>
      </c>
      <c r="B718" s="1" t="s">
        <v>55</v>
      </c>
      <c r="C718" s="1" t="s">
        <v>4516</v>
      </c>
      <c r="E718" s="1">
        <v>33</v>
      </c>
      <c r="F718" s="1" t="s">
        <v>4526</v>
      </c>
      <c r="G718" s="1" t="s">
        <v>4518</v>
      </c>
      <c r="H718" s="1" t="s">
        <v>4527</v>
      </c>
      <c r="I718" s="1" t="s">
        <v>7</v>
      </c>
      <c r="J718" s="1" t="s">
        <v>4528</v>
      </c>
      <c r="K718" s="1" t="s">
        <v>4529</v>
      </c>
      <c r="L718" s="1" t="s">
        <v>4528</v>
      </c>
      <c r="M718" s="1" t="s">
        <v>4522</v>
      </c>
      <c r="N718" s="1" t="s">
        <v>4530</v>
      </c>
      <c r="O718" s="1" t="s">
        <v>4518</v>
      </c>
      <c r="P718" s="1" t="s">
        <v>1270</v>
      </c>
      <c r="Q718" s="1">
        <v>2003</v>
      </c>
      <c r="R718" s="1" t="s">
        <v>4524</v>
      </c>
      <c r="S718" s="1" t="s">
        <v>23</v>
      </c>
      <c r="T718" s="6">
        <v>1</v>
      </c>
      <c r="V718" s="1">
        <v>0.6</v>
      </c>
      <c r="AD718" s="1">
        <v>0.69466666666666699</v>
      </c>
      <c r="AF718" s="1">
        <v>5.2516800000000002E-2</v>
      </c>
      <c r="AG718" s="1">
        <v>3.5511359999999999E-2</v>
      </c>
      <c r="AW718" s="1">
        <v>1.83392E-3</v>
      </c>
      <c r="BA718" s="1">
        <v>0.16088479999999999</v>
      </c>
      <c r="BD718" s="1">
        <v>1.75056E-3</v>
      </c>
      <c r="BG718" s="1">
        <v>6.9605600000000004E-2</v>
      </c>
      <c r="BL718" s="1">
        <v>3.3344E-3</v>
      </c>
      <c r="CA718" s="1">
        <v>1.358768E-2</v>
      </c>
      <c r="CJ718" s="1">
        <v>3.7512000000000001E-3</v>
      </c>
      <c r="CQ718" s="1">
        <v>7.3773599999999995E-2</v>
      </c>
      <c r="DY718" s="1">
        <v>2.2632240000000001E-2</v>
      </c>
      <c r="EZ718" s="1">
        <v>1.2879120000000001E-2</v>
      </c>
      <c r="FF718" s="1">
        <v>2.809232E-2</v>
      </c>
      <c r="FN718" s="1">
        <v>2.4591200000000001E-2</v>
      </c>
    </row>
    <row r="719" spans="1:170" x14ac:dyDescent="0.2">
      <c r="A719" s="1" t="s">
        <v>4531</v>
      </c>
      <c r="B719" s="1" t="s">
        <v>55</v>
      </c>
      <c r="C719" s="1" t="s">
        <v>4516</v>
      </c>
      <c r="E719" s="1">
        <v>12</v>
      </c>
      <c r="F719" s="1" t="s">
        <v>2516</v>
      </c>
      <c r="G719" s="1" t="s">
        <v>4518</v>
      </c>
      <c r="H719" s="1" t="s">
        <v>4532</v>
      </c>
      <c r="I719" s="1" t="s">
        <v>7</v>
      </c>
      <c r="J719" s="1" t="s">
        <v>4533</v>
      </c>
      <c r="K719" s="1" t="s">
        <v>2520</v>
      </c>
      <c r="L719" s="1" t="s">
        <v>2521</v>
      </c>
      <c r="M719" s="1" t="s">
        <v>4522</v>
      </c>
      <c r="N719" s="1" t="s">
        <v>4534</v>
      </c>
      <c r="O719" s="1" t="s">
        <v>4518</v>
      </c>
      <c r="P719" s="1" t="s">
        <v>1270</v>
      </c>
      <c r="Q719" s="1">
        <v>2003</v>
      </c>
      <c r="R719" s="1" t="s">
        <v>4524</v>
      </c>
      <c r="S719" s="1" t="s">
        <v>23</v>
      </c>
      <c r="T719" s="6">
        <v>1</v>
      </c>
      <c r="V719" s="1">
        <v>1.92</v>
      </c>
      <c r="AD719" s="1">
        <v>0.85852083333333296</v>
      </c>
      <c r="AF719" s="1">
        <v>0.12296765599999999</v>
      </c>
      <c r="AG719" s="1">
        <v>0.15593485600000001</v>
      </c>
      <c r="AW719" s="1">
        <v>1.153852E-2</v>
      </c>
      <c r="BA719" s="1">
        <v>0.58516780000000002</v>
      </c>
      <c r="BG719" s="1">
        <v>0.23241876</v>
      </c>
      <c r="BL719" s="1">
        <v>1.2692372E-2</v>
      </c>
      <c r="CA719" s="1">
        <v>1.8791304000000002E-2</v>
      </c>
      <c r="CJ719" s="1">
        <v>0.2802212</v>
      </c>
      <c r="CQ719" s="1">
        <v>0.18956139999999999</v>
      </c>
      <c r="DL719" s="1">
        <v>0.14752821999999999</v>
      </c>
      <c r="EK719" s="1">
        <v>8.4066360000000003E-3</v>
      </c>
      <c r="FF719" s="1">
        <v>0.12296765599999999</v>
      </c>
    </row>
    <row r="720" spans="1:170" x14ac:dyDescent="0.2">
      <c r="A720" s="1" t="s">
        <v>4535</v>
      </c>
      <c r="B720" s="1" t="s">
        <v>55</v>
      </c>
      <c r="C720" s="1" t="s">
        <v>4516</v>
      </c>
      <c r="D720" s="1" t="s">
        <v>4518</v>
      </c>
      <c r="E720" s="1">
        <v>13</v>
      </c>
      <c r="F720" s="1" t="s">
        <v>4104</v>
      </c>
      <c r="H720" s="1" t="s">
        <v>4536</v>
      </c>
      <c r="I720" s="1" t="s">
        <v>7</v>
      </c>
      <c r="J720" s="1" t="s">
        <v>4109</v>
      </c>
      <c r="K720" s="1" t="s">
        <v>4108</v>
      </c>
      <c r="L720" s="1" t="s">
        <v>4109</v>
      </c>
      <c r="M720" s="1" t="s">
        <v>4522</v>
      </c>
      <c r="N720" s="1" t="s">
        <v>4537</v>
      </c>
      <c r="O720" s="1" t="s">
        <v>4518</v>
      </c>
      <c r="P720" s="1" t="s">
        <v>1270</v>
      </c>
      <c r="Q720" s="1">
        <v>2003</v>
      </c>
      <c r="R720" s="1" t="s">
        <v>4524</v>
      </c>
      <c r="S720" s="1" t="s">
        <v>23</v>
      </c>
      <c r="T720" s="6">
        <v>1</v>
      </c>
      <c r="V720" s="1">
        <v>9.6999999999999993</v>
      </c>
      <c r="AD720" s="1">
        <v>0.91825773195876303</v>
      </c>
      <c r="AF720" s="1">
        <v>1.2024585000000001</v>
      </c>
      <c r="AG720" s="1">
        <v>0.93524549999999995</v>
      </c>
      <c r="AW720" s="1">
        <v>0.28413649000000002</v>
      </c>
      <c r="BA720" s="1">
        <v>2.47973664</v>
      </c>
      <c r="BD720" s="1">
        <v>2.3158459999999999E-2</v>
      </c>
      <c r="BG720" s="1">
        <v>0.37320748999999998</v>
      </c>
      <c r="BI720" s="1">
        <v>0.59321285999999995</v>
      </c>
      <c r="BL720" s="1">
        <v>3.9191240000000002E-2</v>
      </c>
      <c r="CA720" s="1">
        <v>1.1222946</v>
      </c>
      <c r="CF720" s="1">
        <v>0.14696714999999999</v>
      </c>
      <c r="CJ720" s="1">
        <v>0.18793981000000001</v>
      </c>
      <c r="CQ720" s="1">
        <v>1.4874856999999999</v>
      </c>
      <c r="DD720" s="1">
        <v>0.1068852</v>
      </c>
      <c r="DL720" s="1">
        <v>0.22534963</v>
      </c>
      <c r="DY720" s="1">
        <v>0.66803250000000003</v>
      </c>
      <c r="EI720" s="1">
        <v>0.13627863000000001</v>
      </c>
      <c r="EK720" s="1">
        <v>1.7814199999999999E-2</v>
      </c>
      <c r="EZ720" s="1">
        <v>2.0486330000000001E-2</v>
      </c>
      <c r="FF720" s="1">
        <v>0.66536037000000003</v>
      </c>
      <c r="FN720" s="1">
        <v>0.53531671000000003</v>
      </c>
    </row>
    <row r="721" spans="1:170" x14ac:dyDescent="0.2">
      <c r="A721" s="1" t="s">
        <v>4538</v>
      </c>
      <c r="B721" s="1" t="s">
        <v>1912</v>
      </c>
      <c r="C721" s="1" t="s">
        <v>4516</v>
      </c>
      <c r="D721" s="1" t="s">
        <v>4518</v>
      </c>
      <c r="E721" s="1">
        <v>45</v>
      </c>
      <c r="F721" s="1" t="s">
        <v>4539</v>
      </c>
      <c r="G721" s="1" t="s">
        <v>4518</v>
      </c>
      <c r="H721" s="1" t="s">
        <v>4540</v>
      </c>
      <c r="I721" s="1" t="s">
        <v>7</v>
      </c>
      <c r="J721" s="1" t="s">
        <v>4541</v>
      </c>
      <c r="K721" s="1" t="s">
        <v>4542</v>
      </c>
      <c r="L721" s="1" t="s">
        <v>4541</v>
      </c>
      <c r="M721" s="1" t="s">
        <v>4522</v>
      </c>
      <c r="N721" s="1" t="s">
        <v>4543</v>
      </c>
      <c r="O721" s="1" t="s">
        <v>4518</v>
      </c>
      <c r="P721" s="1" t="s">
        <v>1270</v>
      </c>
      <c r="Q721" s="1">
        <v>2003</v>
      </c>
      <c r="R721" s="1" t="s">
        <v>4524</v>
      </c>
      <c r="S721" s="1" t="s">
        <v>23</v>
      </c>
      <c r="T721" s="6">
        <v>1</v>
      </c>
      <c r="V721" s="1">
        <v>0.94</v>
      </c>
      <c r="AD721" s="1">
        <v>0.66557446808510601</v>
      </c>
      <c r="AF721" s="1">
        <v>7.8204999999999997E-2</v>
      </c>
      <c r="AG721" s="1">
        <v>1.470254E-2</v>
      </c>
      <c r="BA721" s="1">
        <v>0.22397912</v>
      </c>
      <c r="BD721" s="1">
        <v>1.438972E-2</v>
      </c>
      <c r="BG721" s="1">
        <v>0.10135368</v>
      </c>
      <c r="BL721" s="1">
        <v>5.0051200000000001E-3</v>
      </c>
      <c r="CA721" s="1">
        <v>2.9655336000000001E-2</v>
      </c>
      <c r="CJ721" s="1">
        <v>1.063588E-2</v>
      </c>
      <c r="CQ721" s="1">
        <v>0.12199980000000001</v>
      </c>
      <c r="DY721" s="1">
        <v>1.470254E-2</v>
      </c>
      <c r="FF721" s="1">
        <v>2.6652263999999998E-2</v>
      </c>
      <c r="FN721" s="1">
        <v>5.1490172000000001E-2</v>
      </c>
    </row>
    <row r="722" spans="1:170" x14ac:dyDescent="0.2">
      <c r="A722" s="1" t="s">
        <v>4544</v>
      </c>
      <c r="B722" s="1" t="s">
        <v>55</v>
      </c>
      <c r="C722" s="1" t="s">
        <v>4516</v>
      </c>
      <c r="D722" s="1" t="s">
        <v>4518</v>
      </c>
      <c r="E722" s="1">
        <v>35</v>
      </c>
      <c r="F722" s="1" t="s">
        <v>4517</v>
      </c>
      <c r="G722" s="1" t="s">
        <v>4518</v>
      </c>
      <c r="H722" s="1" t="s">
        <v>4519</v>
      </c>
      <c r="I722" s="1" t="s">
        <v>7</v>
      </c>
      <c r="J722" s="1" t="s">
        <v>4520</v>
      </c>
      <c r="K722" s="1" t="s">
        <v>4521</v>
      </c>
      <c r="L722" s="1" t="s">
        <v>4520</v>
      </c>
      <c r="M722" s="1" t="s">
        <v>4545</v>
      </c>
      <c r="N722" s="1" t="s">
        <v>4546</v>
      </c>
      <c r="O722" s="1" t="s">
        <v>4518</v>
      </c>
      <c r="P722" s="1" t="s">
        <v>1270</v>
      </c>
      <c r="Q722" s="1">
        <v>2003</v>
      </c>
      <c r="R722" s="1" t="s">
        <v>4524</v>
      </c>
      <c r="S722" s="1" t="s">
        <v>23</v>
      </c>
      <c r="T722" s="6">
        <v>1</v>
      </c>
      <c r="V722" s="1">
        <v>10.62</v>
      </c>
      <c r="AD722" s="1">
        <v>0.91953483992467</v>
      </c>
      <c r="AF722" s="1">
        <v>1.30857164</v>
      </c>
      <c r="AG722" s="1">
        <v>0.14159917</v>
      </c>
      <c r="AW722" s="1">
        <v>0.29101070800000001</v>
      </c>
      <c r="BA722" s="1">
        <v>4.6971862599999996</v>
      </c>
      <c r="BD722" s="1">
        <v>4.6874208000000001E-2</v>
      </c>
      <c r="BG722" s="1">
        <v>0.77440097799999996</v>
      </c>
      <c r="BL722" s="1">
        <v>0.406243136</v>
      </c>
      <c r="CA722" s="1">
        <v>0.192379562</v>
      </c>
      <c r="CF722" s="1">
        <v>0.15527081400000001</v>
      </c>
      <c r="CJ722" s="1">
        <v>0.120115158</v>
      </c>
      <c r="CQ722" s="1">
        <v>1.63083182</v>
      </c>
      <c r="DR722" s="1">
        <v>4.1991477999999999E-2</v>
      </c>
      <c r="DV722" s="1">
        <v>9.8631146000000003E-2</v>
      </c>
      <c r="EL722" s="1">
        <v>1.7577828E-2</v>
      </c>
      <c r="FF722" s="1">
        <v>0.182614102</v>
      </c>
      <c r="FN722" s="1">
        <v>1.1034969800000001</v>
      </c>
    </row>
    <row r="723" spans="1:170" x14ac:dyDescent="0.2">
      <c r="A723" s="1" t="s">
        <v>4547</v>
      </c>
      <c r="B723" s="1" t="s">
        <v>55</v>
      </c>
      <c r="C723" s="1" t="s">
        <v>4516</v>
      </c>
      <c r="D723" s="1" t="s">
        <v>4518</v>
      </c>
      <c r="E723" s="1">
        <v>33</v>
      </c>
      <c r="F723" s="1" t="s">
        <v>4526</v>
      </c>
      <c r="G723" s="1" t="s">
        <v>4518</v>
      </c>
      <c r="H723" s="1" t="s">
        <v>4527</v>
      </c>
      <c r="I723" s="1" t="s">
        <v>7</v>
      </c>
      <c r="J723" s="1" t="s">
        <v>4528</v>
      </c>
      <c r="K723" s="1" t="s">
        <v>4529</v>
      </c>
      <c r="L723" s="1" t="s">
        <v>4528</v>
      </c>
      <c r="M723" s="1" t="s">
        <v>4545</v>
      </c>
      <c r="N723" s="1" t="s">
        <v>4548</v>
      </c>
      <c r="O723" s="1" t="s">
        <v>4518</v>
      </c>
      <c r="P723" s="1" t="s">
        <v>1270</v>
      </c>
      <c r="Q723" s="1">
        <v>2003</v>
      </c>
      <c r="R723" s="1" t="s">
        <v>4524</v>
      </c>
      <c r="S723" s="1" t="s">
        <v>23</v>
      </c>
      <c r="T723" s="6">
        <v>1</v>
      </c>
      <c r="V723" s="1">
        <v>3.29</v>
      </c>
      <c r="AD723" s="1">
        <v>0.88953495440729502</v>
      </c>
      <c r="AF723" s="1">
        <v>0.36582124999999999</v>
      </c>
      <c r="AG723" s="1">
        <v>0.29851013999999998</v>
      </c>
      <c r="AW723" s="1">
        <v>3.9508695000000003E-2</v>
      </c>
      <c r="BA723" s="1">
        <v>1.11794974</v>
      </c>
      <c r="BD723" s="1">
        <v>6.7311109999999997E-3</v>
      </c>
      <c r="BG723" s="1">
        <v>0.40971980000000002</v>
      </c>
      <c r="BL723" s="1">
        <v>2.7217101E-2</v>
      </c>
      <c r="CA723" s="1">
        <v>0.115014201</v>
      </c>
      <c r="CJ723" s="1">
        <v>3.0143671E-2</v>
      </c>
      <c r="CQ723" s="1">
        <v>0.51507632000000003</v>
      </c>
      <c r="DY723" s="1">
        <v>0.29851013999999998</v>
      </c>
      <c r="FF723" s="1">
        <v>0.20983506900000001</v>
      </c>
      <c r="FN723" s="1">
        <v>0.156571495</v>
      </c>
    </row>
    <row r="724" spans="1:170" x14ac:dyDescent="0.2">
      <c r="A724" s="1" t="s">
        <v>4549</v>
      </c>
      <c r="B724" s="1" t="s">
        <v>55</v>
      </c>
      <c r="C724" s="1" t="s">
        <v>4516</v>
      </c>
      <c r="D724" s="1" t="s">
        <v>4518</v>
      </c>
      <c r="E724" s="1">
        <v>12</v>
      </c>
      <c r="F724" s="1" t="s">
        <v>2516</v>
      </c>
      <c r="G724" s="1" t="s">
        <v>4518</v>
      </c>
      <c r="H724" s="1" t="s">
        <v>4532</v>
      </c>
      <c r="I724" s="1" t="s">
        <v>7</v>
      </c>
      <c r="J724" s="1" t="s">
        <v>4533</v>
      </c>
      <c r="K724" s="1" t="s">
        <v>2520</v>
      </c>
      <c r="L724" s="1" t="s">
        <v>2521</v>
      </c>
      <c r="M724" s="1" t="s">
        <v>4545</v>
      </c>
      <c r="N724" s="1" t="s">
        <v>4550</v>
      </c>
      <c r="O724" s="1" t="s">
        <v>4518</v>
      </c>
      <c r="P724" s="1" t="s">
        <v>1270</v>
      </c>
      <c r="Q724" s="1">
        <v>2003</v>
      </c>
      <c r="R724" s="1" t="s">
        <v>4524</v>
      </c>
      <c r="S724" s="1" t="s">
        <v>23</v>
      </c>
      <c r="T724" s="6">
        <v>1</v>
      </c>
      <c r="V724" s="1">
        <v>1.33</v>
      </c>
      <c r="AD724" s="1">
        <v>0.82548120300751904</v>
      </c>
      <c r="AF724" s="1">
        <v>0.13723625</v>
      </c>
      <c r="AG724" s="1">
        <v>5.2479141999999999E-2</v>
      </c>
      <c r="AW724" s="1">
        <v>1.4821515E-2</v>
      </c>
      <c r="BA724" s="1">
        <v>0.39963196000000001</v>
      </c>
      <c r="BD724" s="1">
        <v>4.9405050000000004E-3</v>
      </c>
      <c r="BG724" s="1">
        <v>0.14382359</v>
      </c>
      <c r="BI724" s="1">
        <v>7.3887996999999997E-2</v>
      </c>
      <c r="BL724" s="1">
        <v>1.8444551999999999E-2</v>
      </c>
      <c r="CA724" s="1">
        <v>5.5992390000000003E-2</v>
      </c>
      <c r="CJ724" s="1">
        <v>2.1518644E-2</v>
      </c>
      <c r="CQ724" s="1">
        <v>0.17456451000000001</v>
      </c>
      <c r="DL724" s="1">
        <v>4.5013490000000003E-2</v>
      </c>
      <c r="DY724" s="1">
        <v>7.4656519999999997E-3</v>
      </c>
      <c r="FF724" s="1">
        <v>0.10407997200000001</v>
      </c>
      <c r="FN724" s="1">
        <v>3.2826911E-2</v>
      </c>
    </row>
    <row r="725" spans="1:170" x14ac:dyDescent="0.2">
      <c r="A725" s="1" t="s">
        <v>4551</v>
      </c>
      <c r="B725" s="1" t="s">
        <v>55</v>
      </c>
      <c r="C725" s="1" t="s">
        <v>4516</v>
      </c>
      <c r="D725" s="1" t="s">
        <v>4518</v>
      </c>
      <c r="E725" s="1">
        <v>13</v>
      </c>
      <c r="F725" s="1" t="s">
        <v>4104</v>
      </c>
      <c r="H725" s="1" t="s">
        <v>4536</v>
      </c>
      <c r="I725" s="1" t="s">
        <v>7</v>
      </c>
      <c r="J725" s="1" t="s">
        <v>4109</v>
      </c>
      <c r="K725" s="1" t="s">
        <v>4108</v>
      </c>
      <c r="L725" s="1" t="s">
        <v>4109</v>
      </c>
      <c r="M725" s="1" t="s">
        <v>4545</v>
      </c>
      <c r="N725" s="1" t="s">
        <v>4552</v>
      </c>
      <c r="O725" s="1" t="s">
        <v>4518</v>
      </c>
      <c r="P725" s="1" t="s">
        <v>1270</v>
      </c>
      <c r="Q725" s="1">
        <v>2003</v>
      </c>
      <c r="R725" s="1" t="s">
        <v>4524</v>
      </c>
      <c r="S725" s="1" t="s">
        <v>23</v>
      </c>
      <c r="T725" s="6">
        <v>1</v>
      </c>
      <c r="V725" s="1">
        <v>6.67</v>
      </c>
      <c r="AD725" s="1">
        <v>0.91156071964018004</v>
      </c>
      <c r="AF725" s="1">
        <v>0.70529275999999996</v>
      </c>
      <c r="AG725" s="1">
        <v>0.72353308999999999</v>
      </c>
      <c r="AW725" s="1">
        <v>0.15808285999999999</v>
      </c>
      <c r="AY725" s="1">
        <v>1.3984253E-2</v>
      </c>
      <c r="BA725" s="1">
        <v>1.824033</v>
      </c>
      <c r="BD725" s="1">
        <v>2.7968506000000001E-2</v>
      </c>
      <c r="BG725" s="1">
        <v>0.44384803</v>
      </c>
      <c r="BI725" s="1">
        <v>0.438375931</v>
      </c>
      <c r="BL725" s="1">
        <v>0.141666563</v>
      </c>
      <c r="CA725" s="1">
        <v>0.72353308999999999</v>
      </c>
      <c r="CF725" s="1">
        <v>7.0529276000000002E-2</v>
      </c>
      <c r="CJ725" s="1">
        <v>0.108833969</v>
      </c>
      <c r="CQ725" s="1">
        <v>0.56241017500000001</v>
      </c>
      <c r="DD725" s="1">
        <v>8.3297507000000007E-2</v>
      </c>
      <c r="DL725" s="1">
        <v>0.157474849</v>
      </c>
      <c r="DY725" s="1">
        <v>0.52957758099999996</v>
      </c>
      <c r="EI725" s="1">
        <v>5.3504968E-2</v>
      </c>
      <c r="EK725" s="1">
        <v>1.6416297E-2</v>
      </c>
      <c r="EZ725" s="1">
        <v>2.1280384999999999E-2</v>
      </c>
      <c r="FF725" s="1">
        <v>0.49735299799999999</v>
      </c>
      <c r="FN725" s="1">
        <v>0.207939762</v>
      </c>
    </row>
    <row r="726" spans="1:170" x14ac:dyDescent="0.2">
      <c r="A726" s="1" t="s">
        <v>4553</v>
      </c>
      <c r="B726" s="1" t="s">
        <v>1912</v>
      </c>
      <c r="C726" s="1" t="s">
        <v>4516</v>
      </c>
      <c r="D726" s="1" t="s">
        <v>4518</v>
      </c>
      <c r="E726" s="1">
        <v>45</v>
      </c>
      <c r="F726" s="1" t="s">
        <v>4539</v>
      </c>
      <c r="G726" s="1" t="s">
        <v>4518</v>
      </c>
      <c r="H726" s="1" t="s">
        <v>4540</v>
      </c>
      <c r="I726" s="1" t="s">
        <v>7</v>
      </c>
      <c r="J726" s="1" t="s">
        <v>4541</v>
      </c>
      <c r="K726" s="1" t="s">
        <v>4542</v>
      </c>
      <c r="L726" s="1" t="s">
        <v>4541</v>
      </c>
      <c r="M726" s="1" t="s">
        <v>4545</v>
      </c>
      <c r="N726" s="1" t="s">
        <v>4554</v>
      </c>
      <c r="O726" s="1" t="s">
        <v>4518</v>
      </c>
      <c r="P726" s="1" t="s">
        <v>1270</v>
      </c>
      <c r="Q726" s="1">
        <v>2003</v>
      </c>
      <c r="R726" s="1" t="s">
        <v>4524</v>
      </c>
      <c r="S726" s="1" t="s">
        <v>23</v>
      </c>
      <c r="T726" s="6">
        <v>1</v>
      </c>
      <c r="V726" s="1">
        <v>1.1599999999999999</v>
      </c>
      <c r="AD726" s="1">
        <v>0.72065517241379295</v>
      </c>
      <c r="AF726" s="1">
        <v>0.11201864</v>
      </c>
      <c r="AG726" s="1">
        <v>2.7085103999999999E-2</v>
      </c>
      <c r="BA726" s="1">
        <v>0.28589831999999998</v>
      </c>
      <c r="BD726" s="1">
        <v>1.7471563999999998E-2</v>
      </c>
      <c r="BG726" s="1">
        <v>0.12288612</v>
      </c>
      <c r="BL726" s="1">
        <v>7.5236399999999998E-3</v>
      </c>
      <c r="CA726" s="1">
        <v>3.8036180000000003E-2</v>
      </c>
      <c r="CJ726" s="1">
        <v>2.0146635999999999E-2</v>
      </c>
      <c r="CQ726" s="1">
        <v>0.2048102</v>
      </c>
      <c r="DY726" s="1">
        <v>2.7085103999999999E-2</v>
      </c>
      <c r="FF726" s="1">
        <v>4.0376868000000003E-2</v>
      </c>
      <c r="FN726" s="1">
        <v>7.1474579999999996E-2</v>
      </c>
    </row>
    <row r="727" spans="1:170" x14ac:dyDescent="0.2">
      <c r="A727" s="1" t="s">
        <v>4555</v>
      </c>
      <c r="B727" s="1" t="s">
        <v>1912</v>
      </c>
      <c r="C727" s="1" t="s">
        <v>4556</v>
      </c>
      <c r="E727" s="1">
        <v>42</v>
      </c>
      <c r="F727" s="1" t="s">
        <v>4557</v>
      </c>
      <c r="H727" s="1" t="s">
        <v>4558</v>
      </c>
      <c r="I727" s="1" t="s">
        <v>7</v>
      </c>
      <c r="J727" s="1" t="s">
        <v>4559</v>
      </c>
      <c r="K727" s="1" t="s">
        <v>4560</v>
      </c>
      <c r="L727" s="1" t="s">
        <v>4561</v>
      </c>
      <c r="P727" s="1" t="s">
        <v>1270</v>
      </c>
      <c r="Q727" s="1">
        <v>2010</v>
      </c>
      <c r="R727" s="1" t="s">
        <v>4562</v>
      </c>
      <c r="S727" s="1" t="s">
        <v>23</v>
      </c>
      <c r="T727" s="6">
        <v>1</v>
      </c>
      <c r="U727" s="1">
        <v>79.2</v>
      </c>
      <c r="W727" s="1">
        <v>0.32</v>
      </c>
      <c r="Y727" s="1">
        <v>3.0534140160000001E-2</v>
      </c>
      <c r="Z727" s="1">
        <v>3.3328690559999999E-2</v>
      </c>
      <c r="AA727" s="1">
        <v>7.6747178880000003E-2</v>
      </c>
      <c r="AD727" s="1">
        <v>0.45962999999999998</v>
      </c>
      <c r="AF727" s="1">
        <v>6.1833104639999997E-2</v>
      </c>
      <c r="AG727" s="1">
        <v>1.1928317759999999E-2</v>
      </c>
      <c r="AW727" s="1">
        <v>1.3090262399999999E-3</v>
      </c>
      <c r="AY727" s="1">
        <v>8.0894880000000004E-4</v>
      </c>
      <c r="BA727" s="1">
        <v>1.19136096E-2</v>
      </c>
      <c r="BD727" s="1">
        <v>1.1472364800000001E-3</v>
      </c>
      <c r="BG727" s="1">
        <v>1.2913764479999999E-2</v>
      </c>
      <c r="BZ727" s="1">
        <v>8.7807715199999994E-3</v>
      </c>
      <c r="CH727" s="1">
        <v>3.67704E-4</v>
      </c>
      <c r="CK727" s="1">
        <v>1.6576096320000001E-2</v>
      </c>
      <c r="CM727" s="1">
        <v>4.7654438400000004E-3</v>
      </c>
      <c r="CU727" s="1">
        <v>3.2357951999999998E-4</v>
      </c>
      <c r="CV727" s="1">
        <v>6.4715903999999996E-4</v>
      </c>
      <c r="CX727" s="1">
        <v>2.9416320000000002E-4</v>
      </c>
      <c r="DN727" s="1">
        <v>1.51494048E-3</v>
      </c>
      <c r="DS727" s="1" t="s">
        <v>15</v>
      </c>
      <c r="DZ727" s="1">
        <v>2.1326831999999999E-3</v>
      </c>
      <c r="EQ727" s="1">
        <v>6.9716678400000001E-3</v>
      </c>
      <c r="EX727" s="1">
        <v>8.2954022399999994E-3</v>
      </c>
      <c r="FE727" s="1">
        <v>3.2505033599999997E-2</v>
      </c>
      <c r="FJ727" s="1">
        <v>1.1325283200000001E-3</v>
      </c>
    </row>
    <row r="728" spans="1:170" x14ac:dyDescent="0.2">
      <c r="A728" s="1" t="s">
        <v>4563</v>
      </c>
      <c r="B728" s="1" t="s">
        <v>1912</v>
      </c>
      <c r="C728" s="1" t="s">
        <v>4556</v>
      </c>
      <c r="E728" s="1">
        <v>42</v>
      </c>
      <c r="F728" s="1" t="s">
        <v>4557</v>
      </c>
      <c r="H728" s="1" t="s">
        <v>4564</v>
      </c>
      <c r="I728" s="1" t="s">
        <v>7</v>
      </c>
      <c r="J728" s="1" t="s">
        <v>4559</v>
      </c>
      <c r="K728" s="1" t="s">
        <v>4560</v>
      </c>
      <c r="L728" s="1" t="s">
        <v>4561</v>
      </c>
      <c r="P728" s="1" t="s">
        <v>1270</v>
      </c>
      <c r="Q728" s="1">
        <v>2010</v>
      </c>
      <c r="R728" s="1" t="s">
        <v>4562</v>
      </c>
      <c r="S728" s="1" t="s">
        <v>23</v>
      </c>
      <c r="T728" s="6">
        <v>1</v>
      </c>
      <c r="U728" s="1" t="s">
        <v>4565</v>
      </c>
      <c r="W728" s="1" t="s">
        <v>4567</v>
      </c>
      <c r="Y728" s="1">
        <v>0.23655494799999999</v>
      </c>
      <c r="Z728" s="1">
        <v>0.288015664</v>
      </c>
      <c r="AA728" s="1">
        <v>0.44106250400000002</v>
      </c>
      <c r="AD728" s="1">
        <v>0.75526470588235295</v>
      </c>
      <c r="AF728" s="1">
        <v>0.34430403199999998</v>
      </c>
      <c r="AG728" s="1">
        <v>6.9538732000000006E-2</v>
      </c>
      <c r="AW728" s="1">
        <v>1.8488879999999999E-2</v>
      </c>
      <c r="AY728" s="1">
        <v>7.4982679999999998E-3</v>
      </c>
      <c r="BA728" s="1">
        <v>0.12993573999999999</v>
      </c>
      <c r="BD728" s="1">
        <v>7.1901200000000004E-3</v>
      </c>
      <c r="BG728" s="1">
        <v>5.7418244E-2</v>
      </c>
      <c r="BZ728" s="1">
        <v>7.3441939999999997E-2</v>
      </c>
      <c r="CH728" s="1">
        <v>6.779256E-3</v>
      </c>
      <c r="CK728" s="1">
        <v>0.102818716</v>
      </c>
      <c r="CM728" s="1">
        <v>5.1666148000000002E-2</v>
      </c>
      <c r="CU728" s="1">
        <v>1.4380240000000001E-2</v>
      </c>
      <c r="CV728" s="1">
        <v>1.2531352000000001E-2</v>
      </c>
      <c r="CX728" s="1">
        <v>1.1401476000000001E-2</v>
      </c>
      <c r="DN728" s="1">
        <v>7.2928359999999996E-3</v>
      </c>
      <c r="DS728" s="1">
        <v>6.4711079999999997E-3</v>
      </c>
      <c r="DZ728" s="1">
        <v>1.0066168E-2</v>
      </c>
      <c r="EQ728" s="1">
        <v>2.5473567999999999E-2</v>
      </c>
      <c r="EX728" s="1">
        <v>3.9853807999999998E-2</v>
      </c>
      <c r="FE728" s="1">
        <v>0.15458758</v>
      </c>
      <c r="FJ728" s="1">
        <v>1.6023696E-2</v>
      </c>
    </row>
    <row r="729" spans="1:170" x14ac:dyDescent="0.2">
      <c r="A729" s="1" t="s">
        <v>4569</v>
      </c>
      <c r="B729" s="1" t="s">
        <v>1912</v>
      </c>
      <c r="C729" s="1" t="s">
        <v>4556</v>
      </c>
      <c r="E729" s="1">
        <v>42</v>
      </c>
      <c r="F729" s="1" t="s">
        <v>4557</v>
      </c>
      <c r="H729" s="1" t="s">
        <v>4570</v>
      </c>
      <c r="I729" s="1" t="s">
        <v>7</v>
      </c>
      <c r="J729" s="1" t="s">
        <v>4559</v>
      </c>
      <c r="K729" s="1" t="s">
        <v>4560</v>
      </c>
      <c r="L729" s="1" t="s">
        <v>4561</v>
      </c>
      <c r="Q729" s="1">
        <v>2010</v>
      </c>
      <c r="R729" s="1" t="s">
        <v>4562</v>
      </c>
      <c r="S729" s="1" t="s">
        <v>23</v>
      </c>
      <c r="T729" s="6">
        <v>1</v>
      </c>
    </row>
    <row r="730" spans="1:170" x14ac:dyDescent="0.2">
      <c r="A730" s="1" t="s">
        <v>4571</v>
      </c>
      <c r="B730" s="1" t="s">
        <v>1912</v>
      </c>
      <c r="C730" s="1" t="s">
        <v>2595</v>
      </c>
      <c r="E730" s="1">
        <v>43</v>
      </c>
      <c r="F730" s="1" t="s">
        <v>1913</v>
      </c>
      <c r="H730" s="1" t="s">
        <v>4572</v>
      </c>
      <c r="I730" s="1" t="s">
        <v>7</v>
      </c>
      <c r="J730" s="1" t="s">
        <v>1915</v>
      </c>
      <c r="K730" s="1" t="s">
        <v>4573</v>
      </c>
      <c r="L730" s="1" t="s">
        <v>1915</v>
      </c>
      <c r="M730" s="1" t="s">
        <v>4574</v>
      </c>
      <c r="N730" s="1" t="s">
        <v>4575</v>
      </c>
      <c r="P730" s="1" t="s">
        <v>1270</v>
      </c>
      <c r="Q730" s="1">
        <v>2009</v>
      </c>
      <c r="R730" s="1" t="s">
        <v>4576</v>
      </c>
      <c r="S730" s="1" t="s">
        <v>23</v>
      </c>
      <c r="T730" s="6">
        <v>1</v>
      </c>
      <c r="U730" s="1">
        <v>78.099999999999994</v>
      </c>
      <c r="W730" s="1">
        <v>0.3</v>
      </c>
      <c r="Y730" s="1">
        <v>3.1300803000000002E-2</v>
      </c>
      <c r="Z730" s="1">
        <v>3.9712032000000001E-2</v>
      </c>
      <c r="AA730" s="1">
        <v>6.0119604E-2</v>
      </c>
      <c r="AD730" s="1">
        <v>0.45962999999999998</v>
      </c>
      <c r="AF730" s="1">
        <v>4.7295927000000001E-2</v>
      </c>
      <c r="AG730" s="1">
        <v>1.1306897999999999E-2</v>
      </c>
    </row>
    <row r="731" spans="1:170" x14ac:dyDescent="0.2">
      <c r="A731" s="1" t="s">
        <v>4577</v>
      </c>
      <c r="B731" s="1" t="s">
        <v>1912</v>
      </c>
      <c r="C731" s="1" t="s">
        <v>2595</v>
      </c>
      <c r="E731" s="1">
        <v>43</v>
      </c>
      <c r="F731" s="1" t="s">
        <v>1913</v>
      </c>
      <c r="H731" s="1" t="s">
        <v>4578</v>
      </c>
      <c r="I731" s="1" t="s">
        <v>7</v>
      </c>
      <c r="J731" s="1" t="s">
        <v>1915</v>
      </c>
      <c r="K731" s="1" t="s">
        <v>4573</v>
      </c>
      <c r="L731" s="1" t="s">
        <v>1915</v>
      </c>
      <c r="M731" s="1" t="s">
        <v>4574</v>
      </c>
      <c r="N731" s="1" t="s">
        <v>4579</v>
      </c>
      <c r="P731" s="1" t="s">
        <v>1270</v>
      </c>
      <c r="Q731" s="1">
        <v>2009</v>
      </c>
      <c r="R731" s="1" t="s">
        <v>4576</v>
      </c>
      <c r="S731" s="1" t="s">
        <v>23</v>
      </c>
      <c r="T731" s="6">
        <v>1</v>
      </c>
      <c r="U731" s="1">
        <v>79.2</v>
      </c>
      <c r="W731" s="1">
        <v>0.5</v>
      </c>
      <c r="Y731" s="1">
        <v>5.1938190000000002E-2</v>
      </c>
      <c r="Z731" s="1">
        <v>6.5267459999999999E-2</v>
      </c>
      <c r="AA731" s="1">
        <v>0.10295712</v>
      </c>
      <c r="AD731" s="1">
        <v>0.45962999999999998</v>
      </c>
      <c r="AF731" s="1">
        <v>8.043525E-2</v>
      </c>
      <c r="AG731" s="1">
        <v>1.9764090000000002E-2</v>
      </c>
    </row>
    <row r="732" spans="1:170" x14ac:dyDescent="0.2">
      <c r="A732" s="1" t="s">
        <v>4580</v>
      </c>
      <c r="B732" s="1" t="s">
        <v>1912</v>
      </c>
      <c r="C732" s="1" t="s">
        <v>4116</v>
      </c>
      <c r="E732" s="1">
        <v>43</v>
      </c>
      <c r="F732" s="1" t="s">
        <v>4117</v>
      </c>
      <c r="H732" s="1" t="s">
        <v>4581</v>
      </c>
      <c r="I732" s="1" t="s">
        <v>7</v>
      </c>
      <c r="J732" s="1" t="s">
        <v>4119</v>
      </c>
      <c r="K732" s="1" t="s">
        <v>4582</v>
      </c>
      <c r="L732" s="1" t="s">
        <v>4119</v>
      </c>
      <c r="M732" s="1" t="s">
        <v>4574</v>
      </c>
      <c r="N732" s="1" t="s">
        <v>4583</v>
      </c>
      <c r="P732" s="1" t="s">
        <v>1270</v>
      </c>
      <c r="Q732" s="1">
        <v>2009</v>
      </c>
      <c r="R732" s="1" t="s">
        <v>4576</v>
      </c>
      <c r="S732" s="1" t="s">
        <v>23</v>
      </c>
      <c r="T732" s="6">
        <v>1</v>
      </c>
      <c r="U732" s="1">
        <v>79.2</v>
      </c>
      <c r="W732" s="1">
        <v>0.7</v>
      </c>
      <c r="Y732" s="1">
        <v>8.5579199999999994E-2</v>
      </c>
      <c r="Z732" s="1">
        <v>0.124803</v>
      </c>
      <c r="AA732" s="1">
        <v>0.166404</v>
      </c>
      <c r="AD732" s="1">
        <v>0.56599999999999995</v>
      </c>
      <c r="AF732" s="1">
        <v>0.140651</v>
      </c>
      <c r="AG732" s="1">
        <v>2.2979599999999999E-2</v>
      </c>
    </row>
    <row r="733" spans="1:170" x14ac:dyDescent="0.2">
      <c r="A733" s="1" t="s">
        <v>4584</v>
      </c>
      <c r="B733" s="1" t="s">
        <v>1912</v>
      </c>
      <c r="C733" s="1" t="s">
        <v>4116</v>
      </c>
      <c r="E733" s="1">
        <v>43</v>
      </c>
      <c r="F733" s="1" t="s">
        <v>4117</v>
      </c>
      <c r="H733" s="1" t="s">
        <v>4585</v>
      </c>
      <c r="I733" s="1" t="s">
        <v>7</v>
      </c>
      <c r="J733" s="1" t="s">
        <v>4119</v>
      </c>
      <c r="K733" s="1" t="s">
        <v>4582</v>
      </c>
      <c r="L733" s="1" t="s">
        <v>4119</v>
      </c>
      <c r="M733" s="1" t="s">
        <v>4574</v>
      </c>
      <c r="N733" s="1" t="s">
        <v>4586</v>
      </c>
      <c r="P733" s="1" t="s">
        <v>1270</v>
      </c>
      <c r="Q733" s="1">
        <v>2009</v>
      </c>
      <c r="R733" s="1" t="s">
        <v>4576</v>
      </c>
      <c r="S733" s="1" t="s">
        <v>23</v>
      </c>
      <c r="T733" s="6">
        <v>1</v>
      </c>
      <c r="U733" s="1">
        <v>80.5</v>
      </c>
      <c r="W733" s="1">
        <v>0.6</v>
      </c>
      <c r="Y733" s="1">
        <v>6.1322399999999999E-2</v>
      </c>
      <c r="Z733" s="1">
        <v>9.0179999999999996E-2</v>
      </c>
      <c r="AA733" s="1">
        <v>0.13406760000000001</v>
      </c>
      <c r="AD733" s="1">
        <v>0.501</v>
      </c>
      <c r="AF733" s="1">
        <v>0.111222</v>
      </c>
      <c r="AG733" s="1">
        <v>1.9539000000000001E-2</v>
      </c>
    </row>
    <row r="734" spans="1:170" x14ac:dyDescent="0.2">
      <c r="A734" s="1" t="s">
        <v>4587</v>
      </c>
      <c r="B734" s="1" t="s">
        <v>1912</v>
      </c>
      <c r="C734" s="1" t="s">
        <v>2595</v>
      </c>
      <c r="E734" s="1">
        <v>43</v>
      </c>
      <c r="F734" s="1" t="s">
        <v>1913</v>
      </c>
      <c r="H734" s="1" t="s">
        <v>4588</v>
      </c>
      <c r="I734" s="1" t="s">
        <v>7</v>
      </c>
      <c r="J734" s="1" t="s">
        <v>1915</v>
      </c>
      <c r="K734" s="1" t="s">
        <v>4573</v>
      </c>
      <c r="L734" s="1" t="s">
        <v>1915</v>
      </c>
      <c r="M734" s="1" t="s">
        <v>4574</v>
      </c>
      <c r="N734" s="1" t="s">
        <v>4589</v>
      </c>
      <c r="P734" s="1" t="s">
        <v>1270</v>
      </c>
      <c r="Q734" s="1">
        <v>2009</v>
      </c>
      <c r="R734" s="1" t="s">
        <v>4576</v>
      </c>
      <c r="S734" s="1" t="s">
        <v>23</v>
      </c>
      <c r="T734" s="6">
        <v>1</v>
      </c>
      <c r="U734" s="1">
        <v>67.400000000000006</v>
      </c>
      <c r="W734" s="1">
        <v>16.600000000000001</v>
      </c>
      <c r="Y734" s="1">
        <v>4.1486955999999999</v>
      </c>
      <c r="Z734" s="1">
        <v>7.3615952</v>
      </c>
      <c r="AA734" s="1">
        <v>3.1349165999999999</v>
      </c>
      <c r="AD734" s="1">
        <v>0.93955421686746998</v>
      </c>
      <c r="AF734" s="1">
        <v>2.2147171999999999</v>
      </c>
      <c r="AG734" s="1">
        <v>0.74863679999999999</v>
      </c>
    </row>
    <row r="735" spans="1:170" x14ac:dyDescent="0.2">
      <c r="A735" s="1" t="s">
        <v>4590</v>
      </c>
      <c r="B735" s="1" t="s">
        <v>1912</v>
      </c>
      <c r="C735" s="1" t="s">
        <v>2595</v>
      </c>
      <c r="E735" s="1">
        <v>43</v>
      </c>
      <c r="F735" s="1" t="s">
        <v>1913</v>
      </c>
      <c r="H735" s="1" t="s">
        <v>4591</v>
      </c>
      <c r="I735" s="1" t="s">
        <v>7</v>
      </c>
      <c r="J735" s="1" t="s">
        <v>1915</v>
      </c>
      <c r="K735" s="1" t="s">
        <v>4573</v>
      </c>
      <c r="L735" s="1" t="s">
        <v>1915</v>
      </c>
      <c r="M735" s="1" t="s">
        <v>4574</v>
      </c>
      <c r="N735" s="1" t="s">
        <v>4579</v>
      </c>
      <c r="P735" s="1" t="s">
        <v>1270</v>
      </c>
      <c r="Q735" s="1">
        <v>2009</v>
      </c>
      <c r="R735" s="1" t="s">
        <v>4576</v>
      </c>
      <c r="S735" s="1" t="s">
        <v>23</v>
      </c>
      <c r="T735" s="6">
        <v>1</v>
      </c>
      <c r="U735" s="1">
        <v>70.7</v>
      </c>
      <c r="W735" s="1">
        <v>11.8</v>
      </c>
      <c r="Y735" s="1">
        <v>3.5335038000000001</v>
      </c>
      <c r="Z735" s="1">
        <v>6.0652977999999997</v>
      </c>
      <c r="AA735" s="1">
        <v>0.77054599999999995</v>
      </c>
      <c r="AD735" s="1">
        <v>0.93286440677966098</v>
      </c>
      <c r="AF735" s="1">
        <v>0.42930420000000002</v>
      </c>
      <c r="AG735" s="1">
        <v>0.2311638</v>
      </c>
    </row>
    <row r="736" spans="1:170" x14ac:dyDescent="0.2">
      <c r="A736" s="1" t="s">
        <v>4592</v>
      </c>
      <c r="B736" s="1" t="s">
        <v>1912</v>
      </c>
      <c r="C736" s="1" t="s">
        <v>4116</v>
      </c>
      <c r="E736" s="1">
        <v>43</v>
      </c>
      <c r="F736" s="1" t="s">
        <v>4117</v>
      </c>
      <c r="H736" s="1" t="s">
        <v>4593</v>
      </c>
      <c r="I736" s="1" t="s">
        <v>7</v>
      </c>
      <c r="J736" s="1" t="s">
        <v>4119</v>
      </c>
      <c r="K736" s="1" t="s">
        <v>4582</v>
      </c>
      <c r="L736" s="1" t="s">
        <v>4119</v>
      </c>
      <c r="M736" s="1" t="s">
        <v>4574</v>
      </c>
      <c r="N736" s="1" t="s">
        <v>4583</v>
      </c>
      <c r="P736" s="1" t="s">
        <v>1270</v>
      </c>
      <c r="Q736" s="1">
        <v>2009</v>
      </c>
      <c r="R736" s="1" t="s">
        <v>4576</v>
      </c>
      <c r="S736" s="1" t="s">
        <v>23</v>
      </c>
      <c r="T736" s="6">
        <v>1</v>
      </c>
      <c r="U736" s="1">
        <v>58.8</v>
      </c>
      <c r="W736" s="1">
        <v>25.5</v>
      </c>
      <c r="Y736" s="1">
        <v>5.8816199999999998</v>
      </c>
      <c r="Z736" s="1">
        <v>14.197844999999999</v>
      </c>
      <c r="AA736" s="1">
        <v>2.6997599999999999</v>
      </c>
      <c r="AD736" s="1">
        <v>0.94529411764705895</v>
      </c>
      <c r="AF736" s="1">
        <v>1.856085</v>
      </c>
      <c r="AG736" s="1">
        <v>0.60262499999999997</v>
      </c>
    </row>
    <row r="737" spans="1:33" x14ac:dyDescent="0.2">
      <c r="A737" s="1" t="s">
        <v>4594</v>
      </c>
      <c r="B737" s="1" t="s">
        <v>1912</v>
      </c>
      <c r="C737" s="1" t="s">
        <v>4116</v>
      </c>
      <c r="E737" s="1">
        <v>43</v>
      </c>
      <c r="F737" s="1" t="s">
        <v>4117</v>
      </c>
      <c r="H737" s="1" t="s">
        <v>4595</v>
      </c>
      <c r="I737" s="1" t="s">
        <v>7</v>
      </c>
      <c r="J737" s="1" t="s">
        <v>4119</v>
      </c>
      <c r="K737" s="1" t="s">
        <v>4582</v>
      </c>
      <c r="L737" s="1" t="s">
        <v>4119</v>
      </c>
      <c r="M737" s="1" t="s">
        <v>4574</v>
      </c>
      <c r="N737" s="1" t="s">
        <v>4586</v>
      </c>
      <c r="P737" s="1" t="s">
        <v>1270</v>
      </c>
      <c r="Q737" s="1">
        <v>2009</v>
      </c>
      <c r="R737" s="1" t="s">
        <v>4576</v>
      </c>
      <c r="S737" s="1" t="s">
        <v>23</v>
      </c>
      <c r="T737" s="6">
        <v>1</v>
      </c>
      <c r="U737" s="1">
        <v>68.900000000000006</v>
      </c>
      <c r="W737" s="1">
        <v>14.9</v>
      </c>
      <c r="Y737" s="1">
        <v>3.7862494</v>
      </c>
      <c r="Z737" s="1">
        <v>8.6063823999999993</v>
      </c>
      <c r="AA737" s="1">
        <v>0.81034119999999998</v>
      </c>
      <c r="AD737" s="1">
        <v>0.93767785234899304</v>
      </c>
      <c r="AF737" s="1">
        <v>0.47502759999999999</v>
      </c>
      <c r="AG737" s="1">
        <v>0.2235424</v>
      </c>
    </row>
    <row r="738" spans="1:33" x14ac:dyDescent="0.2">
      <c r="A738" s="1" t="s">
        <v>4596</v>
      </c>
      <c r="B738" s="1" t="s">
        <v>1912</v>
      </c>
      <c r="C738" s="1" t="s">
        <v>4116</v>
      </c>
      <c r="E738" s="1">
        <v>43</v>
      </c>
      <c r="F738" s="1" t="s">
        <v>4117</v>
      </c>
      <c r="H738" s="1" t="s">
        <v>4597</v>
      </c>
      <c r="I738" s="1" t="s">
        <v>7</v>
      </c>
      <c r="J738" s="1" t="s">
        <v>4119</v>
      </c>
      <c r="K738" s="1" t="s">
        <v>4582</v>
      </c>
      <c r="L738" s="1" t="s">
        <v>4119</v>
      </c>
      <c r="M738" s="1" t="s">
        <v>4574</v>
      </c>
      <c r="N738" s="1" t="s">
        <v>4583</v>
      </c>
      <c r="P738" s="1" t="s">
        <v>1270</v>
      </c>
      <c r="Q738" s="1">
        <v>2009</v>
      </c>
      <c r="R738" s="1" t="s">
        <v>4576</v>
      </c>
      <c r="S738" s="1" t="s">
        <v>23</v>
      </c>
      <c r="T738" s="6">
        <v>1</v>
      </c>
      <c r="U738" s="1" t="s">
        <v>4598</v>
      </c>
      <c r="W738" s="1" t="s">
        <v>4600</v>
      </c>
      <c r="Y738" s="1">
        <v>0.66081120000000004</v>
      </c>
      <c r="Z738" s="1">
        <v>1.4160239999999999</v>
      </c>
      <c r="AA738" s="1">
        <v>1.6126940000000001</v>
      </c>
      <c r="AD738" s="1">
        <v>0.893954545454545</v>
      </c>
      <c r="AF738" s="1">
        <v>1.4002904</v>
      </c>
      <c r="AG738" s="1">
        <v>0.2124036</v>
      </c>
    </row>
    <row r="739" spans="1:33" x14ac:dyDescent="0.2">
      <c r="A739" s="1" t="s">
        <v>4602</v>
      </c>
      <c r="B739" s="1" t="s">
        <v>1912</v>
      </c>
      <c r="C739" s="1" t="s">
        <v>4603</v>
      </c>
      <c r="D739" s="1" t="s">
        <v>2</v>
      </c>
      <c r="E739" s="1">
        <v>43</v>
      </c>
      <c r="F739" s="1" t="s">
        <v>1913</v>
      </c>
      <c r="H739" s="1" t="s">
        <v>4604</v>
      </c>
      <c r="I739" s="1" t="s">
        <v>11</v>
      </c>
      <c r="J739" s="1" t="s">
        <v>1915</v>
      </c>
      <c r="K739" s="1" t="s">
        <v>4573</v>
      </c>
      <c r="L739" s="1" t="s">
        <v>1915</v>
      </c>
      <c r="M739" s="1" t="s">
        <v>4605</v>
      </c>
      <c r="P739" s="1" t="s">
        <v>4606</v>
      </c>
      <c r="Q739" s="1">
        <v>1982</v>
      </c>
      <c r="R739" s="1" t="s">
        <v>4607</v>
      </c>
      <c r="S739" s="1" t="s">
        <v>23</v>
      </c>
      <c r="T739" s="6">
        <v>1</v>
      </c>
      <c r="U739" s="1">
        <v>75.84</v>
      </c>
      <c r="V739" s="1">
        <v>1.1599999999999999</v>
      </c>
    </row>
    <row r="740" spans="1:33" x14ac:dyDescent="0.2">
      <c r="A740" s="1" t="s">
        <v>4608</v>
      </c>
      <c r="B740" s="1" t="s">
        <v>1912</v>
      </c>
      <c r="C740" s="1" t="s">
        <v>4603</v>
      </c>
      <c r="D740" s="1" t="s">
        <v>2</v>
      </c>
      <c r="E740" s="1">
        <v>43</v>
      </c>
      <c r="F740" s="1" t="s">
        <v>1913</v>
      </c>
      <c r="H740" s="1" t="s">
        <v>4609</v>
      </c>
      <c r="I740" s="1" t="s">
        <v>11</v>
      </c>
      <c r="J740" s="1" t="s">
        <v>1915</v>
      </c>
      <c r="K740" s="1" t="s">
        <v>4573</v>
      </c>
      <c r="L740" s="1" t="s">
        <v>1915</v>
      </c>
      <c r="M740" s="1" t="s">
        <v>4610</v>
      </c>
      <c r="P740" s="1" t="s">
        <v>4606</v>
      </c>
      <c r="Q740" s="1">
        <v>1982</v>
      </c>
      <c r="R740" s="1" t="s">
        <v>4607</v>
      </c>
      <c r="S740" s="1" t="s">
        <v>23</v>
      </c>
      <c r="T740" s="6">
        <v>1</v>
      </c>
      <c r="U740" s="1">
        <v>74.72</v>
      </c>
      <c r="V740" s="1">
        <v>1.28</v>
      </c>
    </row>
    <row r="741" spans="1:33" x14ac:dyDescent="0.2">
      <c r="A741" s="1" t="s">
        <v>4611</v>
      </c>
      <c r="B741" s="1" t="s">
        <v>1912</v>
      </c>
      <c r="C741" s="1" t="s">
        <v>4603</v>
      </c>
      <c r="D741" s="1" t="s">
        <v>2</v>
      </c>
      <c r="E741" s="1">
        <v>43</v>
      </c>
      <c r="F741" s="1" t="s">
        <v>1913</v>
      </c>
      <c r="H741" s="1" t="s">
        <v>4612</v>
      </c>
      <c r="I741" s="1" t="s">
        <v>11</v>
      </c>
      <c r="J741" s="1" t="s">
        <v>1915</v>
      </c>
      <c r="K741" s="1" t="s">
        <v>4573</v>
      </c>
      <c r="L741" s="1" t="s">
        <v>1915</v>
      </c>
      <c r="M741" s="1" t="s">
        <v>4613</v>
      </c>
      <c r="P741" s="1" t="s">
        <v>4606</v>
      </c>
      <c r="Q741" s="1">
        <v>1982</v>
      </c>
      <c r="R741" s="1" t="s">
        <v>4607</v>
      </c>
      <c r="S741" s="1" t="s">
        <v>23</v>
      </c>
      <c r="T741" s="6">
        <v>1</v>
      </c>
      <c r="U741" s="1">
        <v>67.48</v>
      </c>
    </row>
    <row r="742" spans="1:33" x14ac:dyDescent="0.2">
      <c r="A742" s="1" t="s">
        <v>4614</v>
      </c>
      <c r="B742" s="1" t="s">
        <v>57</v>
      </c>
      <c r="C742" s="1" t="s">
        <v>4615</v>
      </c>
      <c r="E742" s="1">
        <v>56</v>
      </c>
      <c r="F742" s="1" t="s">
        <v>4616</v>
      </c>
      <c r="H742" s="1" t="s">
        <v>4617</v>
      </c>
      <c r="I742" s="1" t="s">
        <v>7</v>
      </c>
      <c r="J742" s="1" t="s">
        <v>4618</v>
      </c>
      <c r="K742" s="1" t="s">
        <v>4619</v>
      </c>
      <c r="L742" s="1" t="s">
        <v>4618</v>
      </c>
      <c r="M742" s="1" t="s">
        <v>4620</v>
      </c>
      <c r="P742" s="1" t="s">
        <v>4621</v>
      </c>
      <c r="Q742" s="1">
        <v>2009</v>
      </c>
      <c r="R742" s="1" t="s">
        <v>4622</v>
      </c>
      <c r="S742" s="1" t="s">
        <v>23</v>
      </c>
      <c r="T742" s="6">
        <v>1</v>
      </c>
      <c r="U742" s="1">
        <v>85.35</v>
      </c>
      <c r="V742" s="1">
        <v>0.57999999999999996</v>
      </c>
    </row>
    <row r="743" spans="1:33" x14ac:dyDescent="0.2">
      <c r="A743" s="1" t="s">
        <v>4623</v>
      </c>
      <c r="B743" s="1" t="s">
        <v>57</v>
      </c>
      <c r="C743" s="1" t="s">
        <v>4615</v>
      </c>
      <c r="E743" s="1">
        <v>56</v>
      </c>
      <c r="F743" s="1" t="s">
        <v>4616</v>
      </c>
      <c r="H743" s="1" t="s">
        <v>4617</v>
      </c>
      <c r="I743" s="1" t="s">
        <v>7</v>
      </c>
      <c r="J743" s="1" t="s">
        <v>4618</v>
      </c>
      <c r="K743" s="1" t="s">
        <v>4619</v>
      </c>
      <c r="L743" s="1" t="s">
        <v>4618</v>
      </c>
      <c r="M743" s="1" t="s">
        <v>4624</v>
      </c>
      <c r="P743" s="1" t="s">
        <v>4621</v>
      </c>
      <c r="Q743" s="1">
        <v>2009</v>
      </c>
      <c r="R743" s="1" t="s">
        <v>4622</v>
      </c>
      <c r="S743" s="1" t="s">
        <v>23</v>
      </c>
      <c r="T743" s="6">
        <v>1</v>
      </c>
      <c r="U743" s="1">
        <v>82.7</v>
      </c>
      <c r="V743" s="1">
        <v>1.2</v>
      </c>
    </row>
    <row r="744" spans="1:33" x14ac:dyDescent="0.2">
      <c r="A744" s="1" t="s">
        <v>4625</v>
      </c>
      <c r="B744" s="1" t="s">
        <v>57</v>
      </c>
      <c r="C744" s="1" t="s">
        <v>4615</v>
      </c>
      <c r="E744" s="1">
        <v>56</v>
      </c>
      <c r="F744" s="1" t="s">
        <v>4616</v>
      </c>
      <c r="H744" s="1" t="s">
        <v>4617</v>
      </c>
      <c r="I744" s="1" t="s">
        <v>7</v>
      </c>
      <c r="J744" s="1" t="s">
        <v>4618</v>
      </c>
      <c r="K744" s="1" t="s">
        <v>4619</v>
      </c>
      <c r="L744" s="1" t="s">
        <v>4618</v>
      </c>
      <c r="M744" s="1" t="s">
        <v>4626</v>
      </c>
      <c r="P744" s="1" t="s">
        <v>4621</v>
      </c>
      <c r="Q744" s="1">
        <v>2009</v>
      </c>
      <c r="R744" s="1" t="s">
        <v>4622</v>
      </c>
      <c r="S744" s="1" t="s">
        <v>23</v>
      </c>
      <c r="T744" s="6">
        <v>1</v>
      </c>
      <c r="U744" s="1">
        <v>84.87</v>
      </c>
      <c r="V744" s="1">
        <v>0.74</v>
      </c>
    </row>
    <row r="745" spans="1:33" x14ac:dyDescent="0.2">
      <c r="A745" s="1" t="s">
        <v>4627</v>
      </c>
      <c r="B745" s="1" t="s">
        <v>57</v>
      </c>
      <c r="C745" s="1" t="s">
        <v>4615</v>
      </c>
      <c r="E745" s="1">
        <v>56</v>
      </c>
      <c r="F745" s="1" t="s">
        <v>4616</v>
      </c>
      <c r="H745" s="1" t="s">
        <v>4617</v>
      </c>
      <c r="I745" s="1" t="s">
        <v>7</v>
      </c>
      <c r="J745" s="1" t="s">
        <v>4618</v>
      </c>
      <c r="K745" s="1" t="s">
        <v>4619</v>
      </c>
      <c r="L745" s="1" t="s">
        <v>4618</v>
      </c>
      <c r="M745" s="1" t="s">
        <v>4628</v>
      </c>
      <c r="P745" s="1" t="s">
        <v>4621</v>
      </c>
      <c r="Q745" s="1">
        <v>2009</v>
      </c>
      <c r="R745" s="1" t="s">
        <v>4622</v>
      </c>
      <c r="S745" s="1" t="s">
        <v>23</v>
      </c>
      <c r="T745" s="6">
        <v>1</v>
      </c>
      <c r="U745" s="1">
        <v>86.57</v>
      </c>
      <c r="V745" s="1">
        <v>0.92</v>
      </c>
    </row>
    <row r="746" spans="1:33" x14ac:dyDescent="0.2">
      <c r="A746" s="1" t="s">
        <v>4629</v>
      </c>
      <c r="B746" s="1" t="s">
        <v>57</v>
      </c>
      <c r="C746" s="1" t="s">
        <v>4615</v>
      </c>
      <c r="E746" s="1">
        <v>56</v>
      </c>
      <c r="F746" s="1" t="s">
        <v>4630</v>
      </c>
      <c r="H746" s="1" t="s">
        <v>4631</v>
      </c>
      <c r="I746" s="1" t="s">
        <v>7</v>
      </c>
      <c r="J746" s="1" t="s">
        <v>4632</v>
      </c>
      <c r="K746" s="1" t="s">
        <v>4633</v>
      </c>
      <c r="L746" s="1" t="s">
        <v>4632</v>
      </c>
      <c r="M746" s="1" t="s">
        <v>4620</v>
      </c>
      <c r="P746" s="1" t="s">
        <v>4621</v>
      </c>
      <c r="Q746" s="1">
        <v>2009</v>
      </c>
      <c r="R746" s="1" t="s">
        <v>4622</v>
      </c>
      <c r="S746" s="1" t="s">
        <v>23</v>
      </c>
      <c r="T746" s="6">
        <v>1</v>
      </c>
      <c r="U746" s="1">
        <v>83.34</v>
      </c>
      <c r="V746" s="1">
        <v>0.69</v>
      </c>
    </row>
    <row r="747" spans="1:33" x14ac:dyDescent="0.2">
      <c r="A747" s="1" t="s">
        <v>4634</v>
      </c>
      <c r="B747" s="1" t="s">
        <v>57</v>
      </c>
      <c r="C747" s="1" t="s">
        <v>4615</v>
      </c>
      <c r="E747" s="1">
        <v>56</v>
      </c>
      <c r="F747" s="1" t="s">
        <v>4630</v>
      </c>
      <c r="H747" s="1" t="s">
        <v>4631</v>
      </c>
      <c r="I747" s="1" t="s">
        <v>7</v>
      </c>
      <c r="J747" s="1" t="s">
        <v>4632</v>
      </c>
      <c r="K747" s="1" t="s">
        <v>4633</v>
      </c>
      <c r="L747" s="1" t="s">
        <v>4632</v>
      </c>
      <c r="M747" s="1" t="s">
        <v>4624</v>
      </c>
      <c r="P747" s="1" t="s">
        <v>4621</v>
      </c>
      <c r="Q747" s="1">
        <v>2009</v>
      </c>
      <c r="R747" s="1" t="s">
        <v>4622</v>
      </c>
      <c r="S747" s="1" t="s">
        <v>23</v>
      </c>
      <c r="T747" s="6">
        <v>1</v>
      </c>
      <c r="U747" s="1">
        <v>81.09</v>
      </c>
      <c r="V747" s="1">
        <v>1.33</v>
      </c>
    </row>
    <row r="748" spans="1:33" x14ac:dyDescent="0.2">
      <c r="A748" s="1" t="s">
        <v>4635</v>
      </c>
      <c r="B748" s="1" t="s">
        <v>57</v>
      </c>
      <c r="C748" s="1" t="s">
        <v>4615</v>
      </c>
      <c r="E748" s="1">
        <v>56</v>
      </c>
      <c r="F748" s="1" t="s">
        <v>4630</v>
      </c>
      <c r="H748" s="1" t="s">
        <v>4631</v>
      </c>
      <c r="I748" s="1" t="s">
        <v>7</v>
      </c>
      <c r="J748" s="1" t="s">
        <v>4632</v>
      </c>
      <c r="K748" s="1" t="s">
        <v>4633</v>
      </c>
      <c r="L748" s="1" t="s">
        <v>4632</v>
      </c>
      <c r="M748" s="1" t="s">
        <v>4626</v>
      </c>
      <c r="P748" s="1" t="s">
        <v>4621</v>
      </c>
      <c r="Q748" s="1">
        <v>2009</v>
      </c>
      <c r="R748" s="1" t="s">
        <v>4622</v>
      </c>
      <c r="S748" s="1" t="s">
        <v>23</v>
      </c>
      <c r="T748" s="6">
        <v>1</v>
      </c>
      <c r="U748" s="1">
        <v>84.67</v>
      </c>
      <c r="V748" s="1">
        <v>0.7</v>
      </c>
    </row>
    <row r="749" spans="1:33" x14ac:dyDescent="0.2">
      <c r="A749" s="1" t="s">
        <v>4636</v>
      </c>
      <c r="B749" s="1" t="s">
        <v>57</v>
      </c>
      <c r="C749" s="1" t="s">
        <v>4615</v>
      </c>
      <c r="E749" s="1">
        <v>56</v>
      </c>
      <c r="F749" s="1" t="s">
        <v>4630</v>
      </c>
      <c r="H749" s="1" t="s">
        <v>4631</v>
      </c>
      <c r="I749" s="1" t="s">
        <v>7</v>
      </c>
      <c r="J749" s="1" t="s">
        <v>4632</v>
      </c>
      <c r="K749" s="1" t="s">
        <v>4633</v>
      </c>
      <c r="L749" s="1" t="s">
        <v>4632</v>
      </c>
      <c r="M749" s="1" t="s">
        <v>4628</v>
      </c>
      <c r="P749" s="1" t="s">
        <v>4621</v>
      </c>
      <c r="Q749" s="1">
        <v>2009</v>
      </c>
      <c r="R749" s="1" t="s">
        <v>4622</v>
      </c>
      <c r="S749" s="1" t="s">
        <v>23</v>
      </c>
      <c r="T749" s="6">
        <v>1</v>
      </c>
      <c r="U749" s="1">
        <v>85.55</v>
      </c>
      <c r="V749" s="1">
        <v>0.87</v>
      </c>
    </row>
    <row r="750" spans="1:33" x14ac:dyDescent="0.2">
      <c r="A750" s="1" t="s">
        <v>4637</v>
      </c>
      <c r="B750" s="1" t="s">
        <v>57</v>
      </c>
      <c r="C750" s="1" t="s">
        <v>236</v>
      </c>
      <c r="E750" s="1">
        <v>57</v>
      </c>
      <c r="F750" s="1" t="s">
        <v>4638</v>
      </c>
      <c r="H750" s="1" t="s">
        <v>4639</v>
      </c>
      <c r="I750" s="1" t="s">
        <v>7</v>
      </c>
      <c r="J750" s="1" t="s">
        <v>4640</v>
      </c>
      <c r="K750" s="1" t="s">
        <v>4641</v>
      </c>
      <c r="L750" s="1" t="s">
        <v>4640</v>
      </c>
      <c r="N750" s="1" t="s">
        <v>4642</v>
      </c>
      <c r="P750" s="1" t="s">
        <v>4643</v>
      </c>
      <c r="Q750" s="1">
        <v>2007</v>
      </c>
      <c r="R750" s="1" t="s">
        <v>4644</v>
      </c>
      <c r="S750" s="1" t="s">
        <v>23</v>
      </c>
      <c r="T750" s="6">
        <v>1</v>
      </c>
      <c r="U750" s="1">
        <v>75.599999999999994</v>
      </c>
      <c r="W750" s="1">
        <v>0.56120000000000003</v>
      </c>
    </row>
    <row r="751" spans="1:33" x14ac:dyDescent="0.2">
      <c r="A751" s="1" t="s">
        <v>4645</v>
      </c>
      <c r="B751" s="1" t="s">
        <v>57</v>
      </c>
      <c r="C751" s="1" t="s">
        <v>236</v>
      </c>
      <c r="E751" s="1">
        <v>57</v>
      </c>
      <c r="F751" s="1" t="s">
        <v>4638</v>
      </c>
      <c r="H751" s="1" t="s">
        <v>4646</v>
      </c>
      <c r="I751" s="1" t="s">
        <v>11</v>
      </c>
      <c r="J751" s="1" t="s">
        <v>4640</v>
      </c>
      <c r="K751" s="1" t="s">
        <v>4641</v>
      </c>
      <c r="L751" s="1" t="s">
        <v>4640</v>
      </c>
      <c r="N751" s="1" t="s">
        <v>4647</v>
      </c>
      <c r="P751" s="1" t="s">
        <v>4643</v>
      </c>
      <c r="Q751" s="1">
        <v>2007</v>
      </c>
      <c r="R751" s="1" t="s">
        <v>4644</v>
      </c>
      <c r="S751" s="1" t="s">
        <v>23</v>
      </c>
      <c r="T751" s="6">
        <v>1</v>
      </c>
      <c r="U751" s="1">
        <v>73.2</v>
      </c>
      <c r="W751" s="1">
        <v>0.85760000000000003</v>
      </c>
    </row>
    <row r="752" spans="1:33" x14ac:dyDescent="0.2">
      <c r="A752" s="1" t="s">
        <v>4648</v>
      </c>
      <c r="B752" s="1" t="s">
        <v>57</v>
      </c>
      <c r="C752" s="1" t="s">
        <v>236</v>
      </c>
      <c r="E752" s="1">
        <v>57</v>
      </c>
      <c r="F752" s="1" t="s">
        <v>4649</v>
      </c>
      <c r="H752" s="1" t="s">
        <v>4650</v>
      </c>
      <c r="I752" s="1" t="s">
        <v>7</v>
      </c>
      <c r="J752" s="1" t="s">
        <v>4651</v>
      </c>
      <c r="K752" s="1" t="s">
        <v>4652</v>
      </c>
      <c r="L752" s="1" t="s">
        <v>4651</v>
      </c>
      <c r="P752" s="1" t="s">
        <v>4643</v>
      </c>
      <c r="Q752" s="1">
        <v>2007</v>
      </c>
      <c r="R752" s="1" t="s">
        <v>4644</v>
      </c>
      <c r="S752" s="1" t="s">
        <v>23</v>
      </c>
      <c r="T752" s="6">
        <v>1</v>
      </c>
      <c r="U752" s="1">
        <v>86</v>
      </c>
      <c r="W752" s="1">
        <v>0.33600000000000002</v>
      </c>
    </row>
    <row r="753" spans="1:169" x14ac:dyDescent="0.2">
      <c r="A753" s="1" t="s">
        <v>4653</v>
      </c>
      <c r="B753" s="1" t="s">
        <v>57</v>
      </c>
      <c r="C753" s="1" t="s">
        <v>236</v>
      </c>
      <c r="E753" s="1">
        <v>57</v>
      </c>
      <c r="F753" s="1" t="s">
        <v>4649</v>
      </c>
      <c r="H753" s="1" t="s">
        <v>4654</v>
      </c>
      <c r="I753" s="1" t="s">
        <v>11</v>
      </c>
      <c r="J753" s="1" t="s">
        <v>4651</v>
      </c>
      <c r="K753" s="1" t="s">
        <v>4652</v>
      </c>
      <c r="L753" s="1" t="s">
        <v>4651</v>
      </c>
      <c r="N753" s="1" t="s">
        <v>4647</v>
      </c>
      <c r="P753" s="1" t="s">
        <v>4643</v>
      </c>
      <c r="Q753" s="1">
        <v>2007</v>
      </c>
      <c r="R753" s="1" t="s">
        <v>4644</v>
      </c>
      <c r="S753" s="1" t="s">
        <v>23</v>
      </c>
      <c r="T753" s="6">
        <v>1</v>
      </c>
      <c r="U753" s="1">
        <v>76.7</v>
      </c>
      <c r="W753" s="1">
        <v>0.51259999999999994</v>
      </c>
    </row>
    <row r="754" spans="1:169" x14ac:dyDescent="0.2">
      <c r="A754" s="1" t="s">
        <v>4655</v>
      </c>
      <c r="B754" s="1" t="s">
        <v>57</v>
      </c>
      <c r="C754" s="1" t="s">
        <v>4656</v>
      </c>
      <c r="D754" s="1" t="s">
        <v>2</v>
      </c>
      <c r="E754" s="1">
        <v>54</v>
      </c>
      <c r="F754" s="1" t="s">
        <v>4153</v>
      </c>
      <c r="G754" s="1" t="s">
        <v>4518</v>
      </c>
      <c r="H754" s="1" t="s">
        <v>4657</v>
      </c>
      <c r="I754" s="1" t="s">
        <v>11</v>
      </c>
      <c r="J754" s="1" t="s">
        <v>4658</v>
      </c>
      <c r="K754" s="1" t="s">
        <v>4156</v>
      </c>
      <c r="L754" s="1" t="s">
        <v>4155</v>
      </c>
      <c r="M754" s="1" t="s">
        <v>4659</v>
      </c>
      <c r="O754" s="1" t="s">
        <v>4518</v>
      </c>
      <c r="P754" s="1" t="s">
        <v>4660</v>
      </c>
      <c r="Q754" s="1">
        <v>2008</v>
      </c>
      <c r="R754" s="1" t="s">
        <v>4661</v>
      </c>
      <c r="S754" s="1" t="s">
        <v>25</v>
      </c>
      <c r="T754" s="6">
        <v>1</v>
      </c>
      <c r="U754" s="1" t="s">
        <v>4662</v>
      </c>
      <c r="V754" s="1" t="s">
        <v>4664</v>
      </c>
    </row>
    <row r="755" spans="1:169" x14ac:dyDescent="0.2">
      <c r="A755" s="1" t="s">
        <v>4666</v>
      </c>
      <c r="B755" s="1" t="s">
        <v>57</v>
      </c>
      <c r="C755" s="1" t="s">
        <v>4656</v>
      </c>
      <c r="D755" s="1" t="s">
        <v>2</v>
      </c>
      <c r="E755" s="1">
        <v>54</v>
      </c>
      <c r="F755" s="1" t="s">
        <v>4153</v>
      </c>
      <c r="G755" s="1" t="s">
        <v>4518</v>
      </c>
      <c r="H755" s="1" t="s">
        <v>4667</v>
      </c>
      <c r="I755" s="1" t="s">
        <v>11</v>
      </c>
      <c r="J755" s="1" t="s">
        <v>4658</v>
      </c>
      <c r="K755" s="1" t="s">
        <v>4156</v>
      </c>
      <c r="L755" s="1" t="s">
        <v>4155</v>
      </c>
      <c r="M755" s="1" t="s">
        <v>4659</v>
      </c>
      <c r="O755" s="1" t="s">
        <v>4518</v>
      </c>
      <c r="P755" s="1" t="s">
        <v>4660</v>
      </c>
      <c r="Q755" s="1">
        <v>2008</v>
      </c>
      <c r="R755" s="1" t="s">
        <v>4661</v>
      </c>
      <c r="S755" s="1" t="s">
        <v>25</v>
      </c>
      <c r="T755" s="6">
        <v>1</v>
      </c>
      <c r="U755" s="1">
        <v>69.400000000000006</v>
      </c>
      <c r="V755" s="1">
        <v>4.9000000000000004</v>
      </c>
    </row>
    <row r="756" spans="1:169" x14ac:dyDescent="0.2">
      <c r="A756" s="1" t="s">
        <v>4668</v>
      </c>
      <c r="B756" s="1" t="s">
        <v>57</v>
      </c>
      <c r="C756" s="1" t="s">
        <v>4656</v>
      </c>
      <c r="D756" s="1" t="s">
        <v>2</v>
      </c>
      <c r="E756" s="1">
        <v>54</v>
      </c>
      <c r="F756" s="1" t="s">
        <v>4153</v>
      </c>
      <c r="G756" s="1" t="s">
        <v>4518</v>
      </c>
      <c r="H756" s="1" t="s">
        <v>4669</v>
      </c>
      <c r="I756" s="1" t="s">
        <v>11</v>
      </c>
      <c r="J756" s="1" t="s">
        <v>4658</v>
      </c>
      <c r="K756" s="1" t="s">
        <v>4156</v>
      </c>
      <c r="L756" s="1" t="s">
        <v>4155</v>
      </c>
      <c r="M756" s="1" t="s">
        <v>4659</v>
      </c>
      <c r="O756" s="1" t="s">
        <v>4518</v>
      </c>
      <c r="P756" s="1" t="s">
        <v>4660</v>
      </c>
      <c r="Q756" s="1">
        <v>2008</v>
      </c>
      <c r="R756" s="1" t="s">
        <v>4661</v>
      </c>
      <c r="S756" s="1" t="s">
        <v>25</v>
      </c>
      <c r="T756" s="6">
        <v>1</v>
      </c>
      <c r="U756" s="1" t="s">
        <v>4670</v>
      </c>
      <c r="V756" s="1" t="s">
        <v>4672</v>
      </c>
    </row>
    <row r="757" spans="1:169" x14ac:dyDescent="0.2">
      <c r="A757" s="1" t="s">
        <v>4691</v>
      </c>
      <c r="B757" s="1" t="s">
        <v>57</v>
      </c>
      <c r="C757" s="1" t="s">
        <v>4656</v>
      </c>
      <c r="D757" s="1" t="s">
        <v>2</v>
      </c>
      <c r="E757" s="1">
        <v>54</v>
      </c>
      <c r="F757" s="1" t="s">
        <v>4153</v>
      </c>
      <c r="G757" s="1" t="s">
        <v>4518</v>
      </c>
      <c r="H757" s="1" t="s">
        <v>4692</v>
      </c>
      <c r="I757" s="1" t="s">
        <v>11</v>
      </c>
      <c r="J757" s="1" t="s">
        <v>4658</v>
      </c>
      <c r="K757" s="1" t="s">
        <v>4156</v>
      </c>
      <c r="L757" s="1" t="s">
        <v>4155</v>
      </c>
      <c r="M757" s="1" t="s">
        <v>4659</v>
      </c>
      <c r="O757" s="1" t="s">
        <v>4518</v>
      </c>
      <c r="P757" s="1" t="s">
        <v>4660</v>
      </c>
      <c r="Q757" s="1">
        <v>2008</v>
      </c>
      <c r="R757" s="1" t="s">
        <v>4661</v>
      </c>
      <c r="S757" s="1" t="s">
        <v>25</v>
      </c>
      <c r="T757" s="6">
        <v>1</v>
      </c>
      <c r="U757" s="1" t="s">
        <v>4693</v>
      </c>
      <c r="V757" s="1" t="s">
        <v>4695</v>
      </c>
    </row>
    <row r="758" spans="1:169" x14ac:dyDescent="0.2">
      <c r="A758" s="1" t="s">
        <v>4696</v>
      </c>
      <c r="B758" s="1" t="s">
        <v>57</v>
      </c>
      <c r="C758" s="1" t="s">
        <v>4656</v>
      </c>
      <c r="D758" s="1" t="s">
        <v>2</v>
      </c>
      <c r="E758" s="1">
        <v>54</v>
      </c>
      <c r="F758" s="1" t="s">
        <v>4153</v>
      </c>
      <c r="G758" s="1" t="s">
        <v>4518</v>
      </c>
      <c r="H758" s="1" t="s">
        <v>4697</v>
      </c>
      <c r="I758" s="1" t="s">
        <v>11</v>
      </c>
      <c r="J758" s="1" t="s">
        <v>4658</v>
      </c>
      <c r="K758" s="1" t="s">
        <v>4156</v>
      </c>
      <c r="L758" s="1" t="s">
        <v>4155</v>
      </c>
      <c r="M758" s="1" t="s">
        <v>4659</v>
      </c>
      <c r="O758" s="1" t="s">
        <v>4518</v>
      </c>
      <c r="P758" s="1" t="s">
        <v>4660</v>
      </c>
      <c r="Q758" s="1">
        <v>2008</v>
      </c>
      <c r="R758" s="1" t="s">
        <v>4661</v>
      </c>
      <c r="S758" s="1" t="s">
        <v>25</v>
      </c>
      <c r="T758" s="6">
        <v>1</v>
      </c>
      <c r="U758" s="1" t="s">
        <v>4698</v>
      </c>
      <c r="V758" s="1" t="s">
        <v>4700</v>
      </c>
    </row>
    <row r="759" spans="1:169" x14ac:dyDescent="0.2">
      <c r="A759" s="1" t="s">
        <v>4702</v>
      </c>
      <c r="B759" s="1" t="s">
        <v>1912</v>
      </c>
      <c r="C759" s="1" t="s">
        <v>4703</v>
      </c>
      <c r="E759" s="1">
        <v>42</v>
      </c>
      <c r="F759" s="1" t="s">
        <v>4704</v>
      </c>
      <c r="G759" s="1" t="s">
        <v>4518</v>
      </c>
      <c r="H759" s="1" t="s">
        <v>4705</v>
      </c>
      <c r="I759" s="1" t="s">
        <v>7</v>
      </c>
      <c r="J759" s="1" t="s">
        <v>4706</v>
      </c>
      <c r="K759" s="1" t="s">
        <v>4707</v>
      </c>
      <c r="L759" s="1" t="s">
        <v>4706</v>
      </c>
      <c r="M759" s="1" t="s">
        <v>4518</v>
      </c>
      <c r="O759" s="1" t="s">
        <v>4518</v>
      </c>
      <c r="P759" s="1" t="s">
        <v>4708</v>
      </c>
      <c r="Q759" s="1">
        <v>2007</v>
      </c>
      <c r="R759" s="1" t="s">
        <v>4709</v>
      </c>
      <c r="S759" s="1" t="s">
        <v>25</v>
      </c>
      <c r="T759" s="6">
        <v>1</v>
      </c>
      <c r="U759" s="1">
        <v>82.97</v>
      </c>
      <c r="X759" s="1">
        <v>0.25</v>
      </c>
    </row>
    <row r="760" spans="1:169" x14ac:dyDescent="0.2">
      <c r="A760" s="1" t="s">
        <v>4719</v>
      </c>
      <c r="B760" s="1" t="s">
        <v>57</v>
      </c>
      <c r="C760" s="1" t="s">
        <v>4720</v>
      </c>
      <c r="D760" s="1" t="s">
        <v>2</v>
      </c>
      <c r="E760" s="1">
        <v>52</v>
      </c>
      <c r="F760" s="1" t="s">
        <v>3762</v>
      </c>
      <c r="G760" s="1" t="s">
        <v>4518</v>
      </c>
      <c r="H760" s="1" t="s">
        <v>4721</v>
      </c>
      <c r="I760" s="1" t="s">
        <v>7</v>
      </c>
      <c r="J760" s="1" t="s">
        <v>4722</v>
      </c>
      <c r="K760" s="1" t="s">
        <v>3765</v>
      </c>
      <c r="L760" s="1" t="s">
        <v>3766</v>
      </c>
      <c r="M760" s="1" t="s">
        <v>4723</v>
      </c>
      <c r="O760" s="1" t="s">
        <v>4518</v>
      </c>
      <c r="Q760" s="1">
        <v>2006</v>
      </c>
      <c r="R760" s="1" t="s">
        <v>4724</v>
      </c>
      <c r="S760" s="1" t="s">
        <v>25</v>
      </c>
      <c r="T760" s="6">
        <v>1</v>
      </c>
      <c r="V760" s="1">
        <v>1.1000000000000001</v>
      </c>
      <c r="Y760" s="1">
        <v>0.14849999999999999</v>
      </c>
      <c r="Z760" s="1">
        <v>0.1047</v>
      </c>
      <c r="AA760" s="1">
        <v>0.18559999999999999</v>
      </c>
      <c r="AF760" s="1">
        <v>9.8000000000000004E-2</v>
      </c>
      <c r="AG760" s="1">
        <v>6.0900000000000003E-2</v>
      </c>
      <c r="AW760" s="1">
        <v>6.3E-3</v>
      </c>
      <c r="BA760" s="1">
        <v>0.1123</v>
      </c>
      <c r="BD760" s="1">
        <v>4.7000000000000002E-3</v>
      </c>
      <c r="BG760" s="1">
        <v>2.4099999999999998E-3</v>
      </c>
      <c r="BI760" s="1">
        <v>5.0000000000000001E-4</v>
      </c>
      <c r="BM760" s="1">
        <v>8.0000000000000004E-4</v>
      </c>
      <c r="BZ760" s="1">
        <v>8.3999999999999995E-3</v>
      </c>
      <c r="CC760" s="1">
        <v>3.4299999999999997E-2</v>
      </c>
      <c r="CK760" s="1">
        <v>2.4899999999999999E-2</v>
      </c>
      <c r="CM760" s="1">
        <v>2.29E-2</v>
      </c>
      <c r="CZ760" s="1">
        <v>1.43E-2</v>
      </c>
      <c r="DN760" s="1">
        <v>3.5700000000000003E-2</v>
      </c>
      <c r="DT760" s="1">
        <v>7.1000000000000004E-3</v>
      </c>
      <c r="DV760" s="1">
        <v>3.2000000000000002E-3</v>
      </c>
      <c r="DY760" s="1">
        <v>1.9900000000000001E-2</v>
      </c>
      <c r="EH760" s="1">
        <v>7.7999999999999996E-3</v>
      </c>
      <c r="EK760" s="1">
        <v>1.4E-3</v>
      </c>
      <c r="EX760" s="1">
        <v>1.66E-2</v>
      </c>
      <c r="FA760" s="1">
        <v>2.8E-3</v>
      </c>
      <c r="FE760" s="1">
        <v>3.39E-2</v>
      </c>
      <c r="FI760" s="1">
        <v>6.9999999999999999E-4</v>
      </c>
      <c r="FJ760" s="1">
        <v>4.53E-2</v>
      </c>
      <c r="FM760" s="1">
        <v>1.0999999999999999E-2</v>
      </c>
    </row>
    <row r="761" spans="1:169" x14ac:dyDescent="0.2">
      <c r="A761" s="1" t="s">
        <v>4725</v>
      </c>
      <c r="B761" s="1" t="s">
        <v>57</v>
      </c>
      <c r="C761" s="1" t="s">
        <v>4720</v>
      </c>
      <c r="D761" s="1" t="s">
        <v>2</v>
      </c>
      <c r="E761" s="1">
        <v>52</v>
      </c>
      <c r="F761" s="1" t="s">
        <v>3762</v>
      </c>
      <c r="G761" s="1" t="s">
        <v>4518</v>
      </c>
      <c r="H761" s="1" t="s">
        <v>4721</v>
      </c>
      <c r="I761" s="1" t="s">
        <v>7</v>
      </c>
      <c r="J761" s="1" t="s">
        <v>4722</v>
      </c>
      <c r="K761" s="1" t="s">
        <v>3765</v>
      </c>
      <c r="L761" s="1" t="s">
        <v>3766</v>
      </c>
      <c r="M761" s="1" t="s">
        <v>4726</v>
      </c>
      <c r="O761" s="1" t="s">
        <v>4518</v>
      </c>
      <c r="Q761" s="1">
        <v>2006</v>
      </c>
      <c r="R761" s="1" t="s">
        <v>4724</v>
      </c>
      <c r="S761" s="1" t="s">
        <v>25</v>
      </c>
      <c r="T761" s="6">
        <v>1</v>
      </c>
      <c r="V761" s="1">
        <v>2.5</v>
      </c>
      <c r="Y761" s="1">
        <v>0.21329999999999999</v>
      </c>
      <c r="Z761" s="1">
        <v>9.0399999999999994E-2</v>
      </c>
      <c r="AA761" s="1">
        <v>0.1555</v>
      </c>
      <c r="AF761" s="1">
        <v>8.4900000000000003E-2</v>
      </c>
      <c r="AG761" s="1">
        <v>4.9700000000000001E-2</v>
      </c>
      <c r="AW761" s="1">
        <v>4.4000000000000003E-3</v>
      </c>
      <c r="BA761" s="1">
        <v>0.18010000000000001</v>
      </c>
      <c r="BD761" s="1">
        <v>4.4999999999999997E-3</v>
      </c>
      <c r="BG761" s="1">
        <v>2.4399999999999999E-3</v>
      </c>
      <c r="BI761" s="1">
        <v>1E-4</v>
      </c>
      <c r="BM761" s="1">
        <v>5.0000000000000001E-4</v>
      </c>
      <c r="BZ761" s="1">
        <v>6.0000000000000001E-3</v>
      </c>
      <c r="CC761" s="1">
        <v>2.9899999999999999E-2</v>
      </c>
      <c r="CK761" s="1">
        <v>2.18E-2</v>
      </c>
      <c r="CM761" s="1">
        <v>1.8499999999999999E-2</v>
      </c>
      <c r="CZ761" s="1">
        <v>1.4200000000000001E-2</v>
      </c>
      <c r="DN761" s="1">
        <v>2.0899999999999998E-2</v>
      </c>
      <c r="DT761" s="1">
        <v>3.8E-3</v>
      </c>
      <c r="DV761" s="1">
        <v>2.9999999999999997E-4</v>
      </c>
      <c r="DY761" s="1">
        <v>2.06E-2</v>
      </c>
      <c r="EH761" s="1">
        <v>4.1999999999999997E-3</v>
      </c>
      <c r="EK761" s="1">
        <v>8.9999999999999998E-4</v>
      </c>
      <c r="EX761" s="1">
        <v>2.0899999999999998E-2</v>
      </c>
      <c r="FA761" s="1">
        <v>2.7000000000000001E-3</v>
      </c>
      <c r="FE761" s="1">
        <v>2.8400000000000002E-2</v>
      </c>
      <c r="FI761" s="1">
        <v>5.0000000000000001E-4</v>
      </c>
      <c r="FJ761" s="1">
        <v>4.5100000000000001E-2</v>
      </c>
      <c r="FM761" s="1">
        <v>7.1000000000000004E-3</v>
      </c>
    </row>
    <row r="762" spans="1:169" x14ac:dyDescent="0.2">
      <c r="A762" s="1" t="s">
        <v>4727</v>
      </c>
      <c r="B762" s="1" t="s">
        <v>57</v>
      </c>
      <c r="C762" s="1" t="s">
        <v>4720</v>
      </c>
      <c r="D762" s="1" t="s">
        <v>2</v>
      </c>
      <c r="E762" s="1">
        <v>52</v>
      </c>
      <c r="F762" s="1" t="s">
        <v>3762</v>
      </c>
      <c r="G762" s="1" t="s">
        <v>4518</v>
      </c>
      <c r="H762" s="1" t="s">
        <v>4721</v>
      </c>
      <c r="I762" s="1" t="s">
        <v>7</v>
      </c>
      <c r="J762" s="1" t="s">
        <v>4722</v>
      </c>
      <c r="K762" s="1" t="s">
        <v>3765</v>
      </c>
      <c r="L762" s="1" t="s">
        <v>3766</v>
      </c>
      <c r="M762" s="1" t="s">
        <v>4728</v>
      </c>
      <c r="O762" s="1" t="s">
        <v>4518</v>
      </c>
      <c r="Q762" s="1">
        <v>2006</v>
      </c>
      <c r="R762" s="1" t="s">
        <v>4724</v>
      </c>
      <c r="S762" s="1" t="s">
        <v>25</v>
      </c>
      <c r="T762" s="6">
        <v>1</v>
      </c>
      <c r="V762" s="1">
        <v>0.8</v>
      </c>
      <c r="Y762" s="1">
        <v>9.69E-2</v>
      </c>
      <c r="Z762" s="1">
        <v>6.88E-2</v>
      </c>
      <c r="AA762" s="1">
        <v>0.1229</v>
      </c>
      <c r="AF762" s="1">
        <v>7.0400000000000004E-2</v>
      </c>
      <c r="AG762" s="1">
        <v>3.4099999999999998E-2</v>
      </c>
      <c r="AW762" s="1">
        <v>4.4000000000000003E-3</v>
      </c>
      <c r="BA762" s="1">
        <v>7.0599999999999996E-2</v>
      </c>
      <c r="BD762" s="1">
        <v>4.0000000000000001E-3</v>
      </c>
      <c r="BG762" s="1">
        <v>1.7700000000000001E-3</v>
      </c>
      <c r="BI762" s="1">
        <v>2.9999999999999997E-4</v>
      </c>
      <c r="BZ762" s="1">
        <v>5.5999999999999999E-3</v>
      </c>
      <c r="CC762" s="1">
        <v>1.6500000000000001E-2</v>
      </c>
      <c r="CK762" s="1">
        <v>2.01E-2</v>
      </c>
      <c r="CM762" s="1">
        <v>1.6199999999999999E-2</v>
      </c>
      <c r="CZ762" s="1">
        <v>1.03E-2</v>
      </c>
      <c r="DN762" s="1">
        <v>1.5800000000000002E-2</v>
      </c>
      <c r="DT762" s="1">
        <v>3.8E-3</v>
      </c>
      <c r="DV762" s="1">
        <v>1.8E-3</v>
      </c>
      <c r="DY762" s="1">
        <v>1.66E-2</v>
      </c>
      <c r="EH762" s="1">
        <v>4.7000000000000002E-3</v>
      </c>
      <c r="EK762" s="1">
        <v>6.9999999999999999E-4</v>
      </c>
      <c r="EX762" s="1">
        <v>1.26E-2</v>
      </c>
      <c r="FA762" s="1">
        <v>1.9E-3</v>
      </c>
      <c r="FE762" s="1">
        <v>2.58E-2</v>
      </c>
      <c r="FI762" s="1">
        <v>2.0000000000000001E-4</v>
      </c>
      <c r="FJ762" s="1">
        <v>3.27E-2</v>
      </c>
      <c r="FM762" s="1">
        <v>6.6E-3</v>
      </c>
    </row>
    <row r="763" spans="1:169" x14ac:dyDescent="0.2">
      <c r="A763" s="1" t="s">
        <v>4729</v>
      </c>
      <c r="B763" s="1" t="s">
        <v>57</v>
      </c>
      <c r="C763" s="1" t="s">
        <v>4720</v>
      </c>
      <c r="D763" s="1" t="s">
        <v>2</v>
      </c>
      <c r="E763" s="1">
        <v>52</v>
      </c>
      <c r="F763" s="1" t="s">
        <v>3762</v>
      </c>
      <c r="G763" s="1" t="s">
        <v>4518</v>
      </c>
      <c r="H763" s="1" t="s">
        <v>4721</v>
      </c>
      <c r="I763" s="1" t="s">
        <v>7</v>
      </c>
      <c r="J763" s="1" t="s">
        <v>4722</v>
      </c>
      <c r="K763" s="1" t="s">
        <v>3765</v>
      </c>
      <c r="L763" s="1" t="s">
        <v>3766</v>
      </c>
      <c r="M763" s="1" t="s">
        <v>4730</v>
      </c>
      <c r="O763" s="1" t="s">
        <v>4518</v>
      </c>
      <c r="Q763" s="1">
        <v>2006</v>
      </c>
      <c r="R763" s="1" t="s">
        <v>4724</v>
      </c>
      <c r="S763" s="1" t="s">
        <v>25</v>
      </c>
      <c r="T763" s="6">
        <v>1</v>
      </c>
      <c r="V763" s="1">
        <v>1.2</v>
      </c>
      <c r="Y763" s="1">
        <v>0.155</v>
      </c>
      <c r="Z763" s="1">
        <v>0.10299999999999999</v>
      </c>
      <c r="AA763" s="1">
        <v>0.1988</v>
      </c>
      <c r="AF763" s="1">
        <v>0.11310000000000001</v>
      </c>
      <c r="AG763" s="1">
        <v>6.0400000000000002E-2</v>
      </c>
      <c r="AW763" s="1">
        <v>7.1000000000000004E-3</v>
      </c>
      <c r="BA763" s="1">
        <v>0.1153</v>
      </c>
      <c r="BD763" s="1">
        <v>5.1000000000000004E-3</v>
      </c>
      <c r="BG763" s="1">
        <v>2.66E-3</v>
      </c>
      <c r="BI763" s="1">
        <v>5.9999999999999995E-4</v>
      </c>
      <c r="BM763" s="1">
        <v>2.9999999999999997E-4</v>
      </c>
      <c r="BZ763" s="1">
        <v>8.0999999999999996E-3</v>
      </c>
      <c r="CC763" s="1">
        <v>3.1600000000000003E-2</v>
      </c>
      <c r="CK763" s="1">
        <v>2.7099999999999999E-2</v>
      </c>
      <c r="CM763" s="1">
        <v>2.3800000000000002E-2</v>
      </c>
      <c r="CZ763" s="1">
        <v>1.2500000000000001E-2</v>
      </c>
      <c r="DN763" s="1">
        <v>3.0499999999999999E-2</v>
      </c>
      <c r="DT763" s="1">
        <v>5.8999999999999999E-3</v>
      </c>
      <c r="DV763" s="1">
        <v>2.3999999999999998E-3</v>
      </c>
      <c r="DY763" s="1">
        <v>2.29E-2</v>
      </c>
      <c r="EH763" s="1">
        <v>7.6E-3</v>
      </c>
      <c r="EK763" s="1">
        <v>1.6000000000000001E-3</v>
      </c>
      <c r="EX763" s="1">
        <v>1.9E-2</v>
      </c>
      <c r="FA763" s="1">
        <v>2.8E-3</v>
      </c>
      <c r="FE763" s="1">
        <v>4.0599999999999997E-2</v>
      </c>
      <c r="FI763" s="1">
        <v>5.9999999999999995E-4</v>
      </c>
      <c r="FJ763" s="1">
        <v>5.2299999999999999E-2</v>
      </c>
      <c r="FM763" s="1">
        <v>1.26E-2</v>
      </c>
    </row>
    <row r="764" spans="1:169" x14ac:dyDescent="0.2">
      <c r="A764" s="1" t="s">
        <v>4731</v>
      </c>
      <c r="B764" s="1" t="s">
        <v>57</v>
      </c>
      <c r="C764" s="1" t="s">
        <v>4720</v>
      </c>
      <c r="D764" s="1" t="s">
        <v>2</v>
      </c>
      <c r="E764" s="1">
        <v>52</v>
      </c>
      <c r="F764" s="1" t="s">
        <v>4732</v>
      </c>
      <c r="G764" s="1" t="s">
        <v>4518</v>
      </c>
      <c r="H764" s="1" t="s">
        <v>4733</v>
      </c>
      <c r="I764" s="1" t="s">
        <v>7</v>
      </c>
      <c r="J764" s="1" t="s">
        <v>4734</v>
      </c>
      <c r="K764" s="1" t="s">
        <v>4735</v>
      </c>
      <c r="L764" s="1" t="s">
        <v>4734</v>
      </c>
      <c r="M764" s="1" t="s">
        <v>4723</v>
      </c>
      <c r="O764" s="1" t="s">
        <v>4518</v>
      </c>
      <c r="Q764" s="1">
        <v>2006</v>
      </c>
      <c r="R764" s="1" t="s">
        <v>4724</v>
      </c>
      <c r="S764" s="1" t="s">
        <v>25</v>
      </c>
      <c r="T764" s="6">
        <v>1</v>
      </c>
      <c r="V764" s="1">
        <v>1.2</v>
      </c>
      <c r="Y764" s="1">
        <v>0.13589999999999999</v>
      </c>
      <c r="Z764" s="1">
        <v>0.1145</v>
      </c>
      <c r="AA764" s="1">
        <v>0.1802</v>
      </c>
      <c r="AF764" s="1">
        <v>0.1004</v>
      </c>
      <c r="AG764" s="1">
        <v>5.7099999999999998E-2</v>
      </c>
      <c r="AW764" s="1">
        <v>1.0800000000000001E-2</v>
      </c>
      <c r="BA764" s="1">
        <v>9.6500000000000002E-2</v>
      </c>
      <c r="BD764" s="1">
        <v>4.4999999999999997E-3</v>
      </c>
      <c r="BG764" s="1">
        <v>2.2599999999999999E-3</v>
      </c>
      <c r="BI764" s="1">
        <v>1.1000000000000001E-3</v>
      </c>
      <c r="BM764" s="1">
        <v>4.0000000000000002E-4</v>
      </c>
      <c r="BW764" s="1">
        <v>3.4299999999999997E-2</v>
      </c>
      <c r="CA764" s="1">
        <v>1.12E-2</v>
      </c>
      <c r="CK764" s="1">
        <v>2.6700000000000002E-2</v>
      </c>
      <c r="CM764" s="1">
        <v>2.8799999999999999E-2</v>
      </c>
      <c r="CZ764" s="1">
        <v>1.35E-2</v>
      </c>
      <c r="DN764" s="1">
        <v>2.41E-2</v>
      </c>
      <c r="DT764" s="1">
        <v>4.1000000000000003E-3</v>
      </c>
      <c r="DV764" s="1">
        <v>1.2999999999999999E-3</v>
      </c>
      <c r="DY764" s="1">
        <v>2.1700000000000001E-2</v>
      </c>
      <c r="EH764" s="1">
        <v>6.7000000000000002E-3</v>
      </c>
      <c r="EK764" s="1">
        <v>1.6000000000000001E-3</v>
      </c>
      <c r="EX764" s="1">
        <v>2.3099999999999999E-2</v>
      </c>
      <c r="FA764" s="1">
        <v>3.5000000000000001E-3</v>
      </c>
      <c r="FE764" s="1">
        <v>4.0300000000000002E-2</v>
      </c>
      <c r="FI764" s="1">
        <v>6.9999999999999999E-4</v>
      </c>
      <c r="FJ764" s="1">
        <v>4.58E-2</v>
      </c>
      <c r="FM764" s="1">
        <v>7.6E-3</v>
      </c>
    </row>
    <row r="765" spans="1:169" x14ac:dyDescent="0.2">
      <c r="A765" s="1" t="s">
        <v>4736</v>
      </c>
      <c r="B765" s="1" t="s">
        <v>57</v>
      </c>
      <c r="C765" s="1" t="s">
        <v>4720</v>
      </c>
      <c r="D765" s="1" t="s">
        <v>2</v>
      </c>
      <c r="E765" s="1">
        <v>52</v>
      </c>
      <c r="F765" s="1" t="s">
        <v>4732</v>
      </c>
      <c r="G765" s="1" t="s">
        <v>4518</v>
      </c>
      <c r="H765" s="1" t="s">
        <v>4733</v>
      </c>
      <c r="I765" s="1" t="s">
        <v>7</v>
      </c>
      <c r="J765" s="1" t="s">
        <v>4734</v>
      </c>
      <c r="K765" s="1" t="s">
        <v>4735</v>
      </c>
      <c r="L765" s="1" t="s">
        <v>4734</v>
      </c>
      <c r="M765" s="1" t="s">
        <v>4726</v>
      </c>
      <c r="O765" s="1" t="s">
        <v>4518</v>
      </c>
      <c r="Q765" s="1">
        <v>2006</v>
      </c>
      <c r="R765" s="1" t="s">
        <v>4724</v>
      </c>
      <c r="S765" s="1" t="s">
        <v>25</v>
      </c>
      <c r="T765" s="6">
        <v>1</v>
      </c>
      <c r="V765" s="1">
        <v>2.7</v>
      </c>
      <c r="Y765" s="1">
        <v>0.17749999999999999</v>
      </c>
      <c r="Z765" s="1">
        <v>9.6500000000000002E-2</v>
      </c>
      <c r="AA765" s="1">
        <v>0.1565</v>
      </c>
      <c r="AF765" s="1">
        <v>8.8300000000000003E-2</v>
      </c>
      <c r="AG765" s="1">
        <v>4.6300000000000001E-2</v>
      </c>
      <c r="AW765" s="1">
        <v>7.0000000000000001E-3</v>
      </c>
      <c r="BA765" s="1">
        <v>0.14349999999999999</v>
      </c>
      <c r="BD765" s="1">
        <v>3.7000000000000002E-3</v>
      </c>
      <c r="BG765" s="1">
        <v>2.2200000000000002E-3</v>
      </c>
      <c r="BI765" s="1">
        <v>8.0000000000000004E-4</v>
      </c>
      <c r="BM765" s="1">
        <v>2.9999999999999997E-4</v>
      </c>
      <c r="BW765" s="1">
        <v>2.7400000000000001E-2</v>
      </c>
      <c r="CA765" s="1">
        <v>7.7000000000000002E-3</v>
      </c>
      <c r="CK765" s="1">
        <v>2.4199999999999999E-2</v>
      </c>
      <c r="CM765" s="1">
        <v>2.41E-2</v>
      </c>
      <c r="CZ765" s="1">
        <v>1.2999999999999999E-2</v>
      </c>
      <c r="DN765" s="1">
        <v>1.4E-2</v>
      </c>
      <c r="DT765" s="1">
        <v>2.3E-3</v>
      </c>
      <c r="DV765" s="1">
        <v>1E-4</v>
      </c>
      <c r="DY765" s="1">
        <v>2.1600000000000001E-2</v>
      </c>
      <c r="EH765" s="1">
        <v>6.0000000000000001E-3</v>
      </c>
      <c r="EK765" s="1">
        <v>6.9999999999999999E-4</v>
      </c>
      <c r="EX765" s="1">
        <v>2.4799999999999999E-2</v>
      </c>
      <c r="FA765" s="1">
        <v>3.8E-3</v>
      </c>
      <c r="FE765" s="1">
        <v>3.2500000000000001E-2</v>
      </c>
      <c r="FI765" s="1">
        <v>6.9999999999999999E-4</v>
      </c>
      <c r="FJ765" s="1">
        <v>4.4400000000000002E-2</v>
      </c>
      <c r="FM765" s="1">
        <v>5.4000000000000003E-3</v>
      </c>
    </row>
    <row r="766" spans="1:169" x14ac:dyDescent="0.2">
      <c r="A766" s="1" t="s">
        <v>4737</v>
      </c>
      <c r="B766" s="1" t="s">
        <v>57</v>
      </c>
      <c r="C766" s="1" t="s">
        <v>4720</v>
      </c>
      <c r="D766" s="1" t="s">
        <v>2</v>
      </c>
      <c r="E766" s="1">
        <v>52</v>
      </c>
      <c r="F766" s="1" t="s">
        <v>4732</v>
      </c>
      <c r="G766" s="1" t="s">
        <v>4518</v>
      </c>
      <c r="H766" s="1" t="s">
        <v>4733</v>
      </c>
      <c r="I766" s="1" t="s">
        <v>7</v>
      </c>
      <c r="J766" s="1" t="s">
        <v>4734</v>
      </c>
      <c r="K766" s="1" t="s">
        <v>4735</v>
      </c>
      <c r="L766" s="1" t="s">
        <v>4734</v>
      </c>
      <c r="M766" s="1" t="s">
        <v>4728</v>
      </c>
      <c r="O766" s="1" t="s">
        <v>4518</v>
      </c>
      <c r="Q766" s="1">
        <v>2006</v>
      </c>
      <c r="R766" s="1" t="s">
        <v>4724</v>
      </c>
      <c r="S766" s="1" t="s">
        <v>25</v>
      </c>
      <c r="T766" s="6">
        <v>1</v>
      </c>
      <c r="V766" s="1">
        <v>0.9</v>
      </c>
      <c r="Y766" s="1">
        <v>9.5600000000000004E-2</v>
      </c>
      <c r="Z766" s="1">
        <v>8.72E-2</v>
      </c>
      <c r="AA766" s="1">
        <v>0.1404</v>
      </c>
      <c r="AF766" s="1">
        <v>7.9399999999999998E-2</v>
      </c>
      <c r="AG766" s="1">
        <v>3.49E-2</v>
      </c>
      <c r="AW766" s="1">
        <v>6.4000000000000003E-3</v>
      </c>
      <c r="BA766" s="1">
        <v>6.6299999999999998E-2</v>
      </c>
      <c r="BD766" s="1">
        <v>3.5000000000000001E-3</v>
      </c>
      <c r="BG766" s="1">
        <v>1.8699999999999999E-3</v>
      </c>
      <c r="BI766" s="1">
        <v>5.9999999999999995E-4</v>
      </c>
      <c r="BW766" s="1">
        <v>2.3400000000000001E-2</v>
      </c>
      <c r="CA766" s="1">
        <v>4.0000000000000001E-3</v>
      </c>
      <c r="CK766" s="1">
        <v>2.29E-2</v>
      </c>
      <c r="CM766" s="1">
        <v>2.1700000000000001E-2</v>
      </c>
      <c r="CZ766" s="1">
        <v>1.18E-2</v>
      </c>
      <c r="DN766" s="1">
        <v>1.55E-2</v>
      </c>
      <c r="DT766" s="1">
        <v>3.2000000000000002E-3</v>
      </c>
      <c r="DV766" s="1">
        <v>1.4E-3</v>
      </c>
      <c r="DY766" s="1">
        <v>2.01E-2</v>
      </c>
      <c r="EH766" s="1">
        <v>5.1999999999999998E-3</v>
      </c>
      <c r="EK766" s="1">
        <v>8.9999999999999998E-4</v>
      </c>
      <c r="EX766" s="1">
        <v>1.83E-2</v>
      </c>
      <c r="FA766" s="1">
        <v>2.3999999999999998E-3</v>
      </c>
      <c r="FE766" s="1">
        <v>3.4000000000000002E-2</v>
      </c>
      <c r="FI766" s="1">
        <v>4.0000000000000002E-4</v>
      </c>
      <c r="FJ766" s="1">
        <v>3.2000000000000001E-2</v>
      </c>
      <c r="FM766" s="1">
        <v>7.1999999999999998E-3</v>
      </c>
    </row>
    <row r="767" spans="1:169" x14ac:dyDescent="0.2">
      <c r="A767" s="1" t="s">
        <v>4738</v>
      </c>
      <c r="B767" s="1" t="s">
        <v>57</v>
      </c>
      <c r="C767" s="1" t="s">
        <v>4720</v>
      </c>
      <c r="D767" s="1" t="s">
        <v>2</v>
      </c>
      <c r="E767" s="1">
        <v>52</v>
      </c>
      <c r="F767" s="1" t="s">
        <v>4732</v>
      </c>
      <c r="G767" s="1" t="s">
        <v>4518</v>
      </c>
      <c r="H767" s="1" t="s">
        <v>4733</v>
      </c>
      <c r="I767" s="1" t="s">
        <v>7</v>
      </c>
      <c r="J767" s="1" t="s">
        <v>4734</v>
      </c>
      <c r="K767" s="1" t="s">
        <v>4735</v>
      </c>
      <c r="L767" s="1" t="s">
        <v>4734</v>
      </c>
      <c r="M767" s="1" t="s">
        <v>4730</v>
      </c>
      <c r="O767" s="1" t="s">
        <v>4518</v>
      </c>
      <c r="Q767" s="1">
        <v>2006</v>
      </c>
      <c r="R767" s="1" t="s">
        <v>4724</v>
      </c>
      <c r="S767" s="1" t="s">
        <v>25</v>
      </c>
      <c r="T767" s="6">
        <v>1</v>
      </c>
      <c r="V767" s="1">
        <v>1</v>
      </c>
      <c r="Y767" s="1">
        <v>0.1202</v>
      </c>
      <c r="Z767" s="1">
        <v>0.1191</v>
      </c>
      <c r="AA767" s="1">
        <v>0.19550000000000001</v>
      </c>
      <c r="AF767" s="1">
        <v>0.11210000000000001</v>
      </c>
      <c r="AG767" s="1">
        <v>5.9200000000000003E-2</v>
      </c>
      <c r="AW767" s="1">
        <v>8.5000000000000006E-3</v>
      </c>
      <c r="BA767" s="1">
        <v>7.9899999999999999E-2</v>
      </c>
      <c r="BD767" s="1">
        <v>4.8999999999999998E-3</v>
      </c>
      <c r="BG767" s="1">
        <v>2.5999999999999999E-3</v>
      </c>
      <c r="BI767" s="1">
        <v>8.9999999999999998E-4</v>
      </c>
      <c r="BW767" s="1">
        <v>3.32E-2</v>
      </c>
      <c r="CA767" s="1">
        <v>1.0999999999999999E-2</v>
      </c>
      <c r="CK767" s="1">
        <v>3.09E-2</v>
      </c>
      <c r="CM767" s="1">
        <v>3.0800000000000001E-2</v>
      </c>
      <c r="CZ767" s="1">
        <v>1.3299999999999999E-2</v>
      </c>
      <c r="DN767" s="1">
        <v>2.23E-2</v>
      </c>
      <c r="DT767" s="1">
        <v>4.0000000000000001E-3</v>
      </c>
      <c r="DV767" s="1">
        <v>1E-3</v>
      </c>
      <c r="DY767" s="1">
        <v>2.3099999999999999E-2</v>
      </c>
      <c r="EH767" s="1">
        <v>8.6E-3</v>
      </c>
      <c r="EK767" s="1">
        <v>2.0000000000000001E-4</v>
      </c>
      <c r="EX767" s="1">
        <v>2.53E-2</v>
      </c>
      <c r="FA767" s="1">
        <v>5.4000000000000003E-3</v>
      </c>
      <c r="FE767" s="1">
        <v>4.2700000000000002E-2</v>
      </c>
      <c r="FI767" s="1">
        <v>6.9999999999999999E-4</v>
      </c>
      <c r="FJ767" s="1">
        <v>5.16E-2</v>
      </c>
      <c r="FM767" s="1">
        <v>9.1999999999999998E-3</v>
      </c>
    </row>
    <row r="768" spans="1:169" x14ac:dyDescent="0.2">
      <c r="A768" s="1" t="s">
        <v>4739</v>
      </c>
      <c r="B768" s="1" t="s">
        <v>1912</v>
      </c>
      <c r="C768" s="1" t="s">
        <v>4740</v>
      </c>
      <c r="D768" s="1" t="s">
        <v>2</v>
      </c>
      <c r="E768" s="1">
        <v>41</v>
      </c>
      <c r="F768" s="1" t="s">
        <v>4741</v>
      </c>
      <c r="G768" s="1" t="s">
        <v>4742</v>
      </c>
      <c r="H768" s="1" t="s">
        <v>4743</v>
      </c>
      <c r="I768" s="1" t="s">
        <v>7</v>
      </c>
      <c r="J768" s="1" t="s">
        <v>4744</v>
      </c>
      <c r="K768" s="1" t="s">
        <v>4745</v>
      </c>
      <c r="L768" s="1" t="s">
        <v>4744</v>
      </c>
      <c r="M768" s="1" t="s">
        <v>4518</v>
      </c>
      <c r="N768" s="1" t="s">
        <v>4746</v>
      </c>
      <c r="O768" s="1">
        <v>5</v>
      </c>
      <c r="P768" s="1" t="s">
        <v>4747</v>
      </c>
      <c r="Q768" s="1">
        <v>2001</v>
      </c>
      <c r="R768" s="1" t="s">
        <v>4748</v>
      </c>
      <c r="S768" s="1" t="s">
        <v>25</v>
      </c>
      <c r="T768" s="6">
        <v>1</v>
      </c>
      <c r="V768" s="1">
        <v>1.1000000000000001</v>
      </c>
      <c r="Y768" s="1">
        <v>0.25950000000000001</v>
      </c>
      <c r="Z768" s="1">
        <v>0.15740000000000001</v>
      </c>
      <c r="AA768" s="1">
        <v>0.24160000000000001</v>
      </c>
      <c r="AF768" s="1">
        <v>0.1885</v>
      </c>
      <c r="AG768" s="1">
        <v>0.1129</v>
      </c>
      <c r="AW768" s="1">
        <v>5.4000000000000003E-3</v>
      </c>
      <c r="AY768" s="1">
        <v>1.9E-2</v>
      </c>
      <c r="BA768" s="1">
        <v>0.13200000000000001</v>
      </c>
      <c r="BD768" s="1">
        <v>2.4E-2</v>
      </c>
      <c r="BF768" s="1">
        <v>5.0000000000000001E-4</v>
      </c>
      <c r="BG768" s="1">
        <v>7.5999999999999998E-2</v>
      </c>
      <c r="BI768" s="1">
        <v>6.9999999999999999E-4</v>
      </c>
      <c r="BK768" s="1">
        <v>1.9E-3</v>
      </c>
      <c r="BT768" s="1">
        <v>1.6999999999999999E-3</v>
      </c>
      <c r="BU768" s="1">
        <v>8.0000000000000004E-4</v>
      </c>
      <c r="BX768" s="1">
        <v>1.5E-3</v>
      </c>
      <c r="BZ768" s="1">
        <v>0.02</v>
      </c>
      <c r="CB768" s="1">
        <v>1.2999999999999999E-2</v>
      </c>
      <c r="CE768" s="1">
        <v>2.0999999999999999E-3</v>
      </c>
      <c r="CK768" s="1">
        <v>8.1000000000000003E-2</v>
      </c>
      <c r="CM768" s="1">
        <v>2.1999999999999999E-2</v>
      </c>
      <c r="CO768" s="1">
        <v>1.1000000000000001E-3</v>
      </c>
      <c r="CR768" s="1">
        <v>2.2000000000000001E-3</v>
      </c>
      <c r="CU768" s="1">
        <v>1.8E-3</v>
      </c>
      <c r="CV768" s="1">
        <v>9.1000000000000004E-3</v>
      </c>
      <c r="CW768" s="1">
        <v>1.1000000000000001E-3</v>
      </c>
      <c r="DG768" s="1">
        <v>2.8E-3</v>
      </c>
      <c r="DH768" s="1">
        <v>6.7000000000000002E-3</v>
      </c>
      <c r="DI768" s="1">
        <v>1.1999999999999999E-3</v>
      </c>
      <c r="DN768" s="1">
        <v>6.3E-2</v>
      </c>
      <c r="DO768" s="1">
        <v>1.1000000000000001E-3</v>
      </c>
      <c r="DP768" s="1">
        <v>8.9999999999999998E-4</v>
      </c>
      <c r="EH768" s="1">
        <v>5.5999999999999999E-3</v>
      </c>
      <c r="EJ768" s="1">
        <v>7.1999999999999998E-3</v>
      </c>
      <c r="EK768" s="1">
        <v>8.9999999999999998E-4</v>
      </c>
      <c r="EL768" s="1">
        <v>1.2999999999999999E-3</v>
      </c>
      <c r="EO768" s="1">
        <v>4.0000000000000002E-4</v>
      </c>
      <c r="ET768" s="1">
        <v>1.5E-3</v>
      </c>
      <c r="EX768" s="1">
        <v>3.6999999999999998E-2</v>
      </c>
      <c r="EY768" s="1">
        <v>8.9999999999999998E-4</v>
      </c>
      <c r="FA768" s="1">
        <v>2E-3</v>
      </c>
      <c r="FE768" s="1">
        <v>9.9000000000000005E-2</v>
      </c>
      <c r="FI768" s="1">
        <v>3.3E-3</v>
      </c>
      <c r="FJ768" s="1">
        <v>6.7999999999999996E-3</v>
      </c>
      <c r="FM768" s="1">
        <v>7.2999999999999995E-2</v>
      </c>
    </row>
    <row r="769" spans="1:172" x14ac:dyDescent="0.2">
      <c r="A769" s="1" t="s">
        <v>4749</v>
      </c>
      <c r="B769" s="1" t="s">
        <v>57</v>
      </c>
      <c r="C769" s="1" t="s">
        <v>4750</v>
      </c>
      <c r="D769" s="1" t="s">
        <v>2</v>
      </c>
      <c r="E769" s="1">
        <v>54</v>
      </c>
      <c r="F769" s="1" t="s">
        <v>4751</v>
      </c>
      <c r="G769" s="1" t="s">
        <v>4518</v>
      </c>
      <c r="H769" s="1" t="s">
        <v>4752</v>
      </c>
      <c r="I769" s="1" t="s">
        <v>7</v>
      </c>
      <c r="J769" s="1" t="s">
        <v>4753</v>
      </c>
      <c r="K769" s="1" t="s">
        <v>4754</v>
      </c>
      <c r="L769" s="1" t="s">
        <v>4753</v>
      </c>
      <c r="M769" s="1" t="s">
        <v>3011</v>
      </c>
      <c r="N769" s="1" t="s">
        <v>4755</v>
      </c>
      <c r="O769" s="1" t="s">
        <v>4518</v>
      </c>
      <c r="Q769" s="1">
        <v>2004</v>
      </c>
      <c r="R769" s="1" t="s">
        <v>4756</v>
      </c>
      <c r="S769" s="1" t="s">
        <v>25</v>
      </c>
      <c r="T769" s="6">
        <v>1</v>
      </c>
    </row>
    <row r="770" spans="1:172" x14ac:dyDescent="0.2">
      <c r="A770" s="1" t="s">
        <v>4757</v>
      </c>
      <c r="B770" s="1" t="s">
        <v>57</v>
      </c>
      <c r="C770" s="1" t="s">
        <v>4758</v>
      </c>
      <c r="D770" s="1" t="s">
        <v>2</v>
      </c>
      <c r="E770" s="1">
        <v>54</v>
      </c>
      <c r="F770" s="1" t="s">
        <v>4751</v>
      </c>
      <c r="G770" s="1" t="s">
        <v>4518</v>
      </c>
      <c r="H770" s="1" t="s">
        <v>4752</v>
      </c>
      <c r="I770" s="1" t="s">
        <v>7</v>
      </c>
      <c r="J770" s="1" t="s">
        <v>4753</v>
      </c>
      <c r="K770" s="1" t="s">
        <v>4754</v>
      </c>
      <c r="L770" s="1" t="s">
        <v>4753</v>
      </c>
      <c r="M770" s="1" t="s">
        <v>4759</v>
      </c>
      <c r="N770" s="1" t="s">
        <v>4760</v>
      </c>
      <c r="O770" s="1" t="s">
        <v>4518</v>
      </c>
      <c r="Q770" s="1">
        <v>2004</v>
      </c>
      <c r="R770" s="1" t="s">
        <v>4756</v>
      </c>
      <c r="S770" s="1" t="s">
        <v>25</v>
      </c>
      <c r="T770" s="6">
        <v>1</v>
      </c>
    </row>
    <row r="771" spans="1:172" x14ac:dyDescent="0.2">
      <c r="A771" s="1" t="s">
        <v>4761</v>
      </c>
      <c r="B771" s="1" t="s">
        <v>57</v>
      </c>
      <c r="C771" s="1" t="s">
        <v>4762</v>
      </c>
      <c r="D771" s="1" t="s">
        <v>2</v>
      </c>
      <c r="E771" s="1">
        <v>54</v>
      </c>
      <c r="F771" s="1" t="s">
        <v>4751</v>
      </c>
      <c r="G771" s="1" t="s">
        <v>4518</v>
      </c>
      <c r="H771" s="1" t="s">
        <v>4752</v>
      </c>
      <c r="I771" s="1" t="s">
        <v>7</v>
      </c>
      <c r="J771" s="1" t="s">
        <v>4753</v>
      </c>
      <c r="K771" s="1" t="s">
        <v>4754</v>
      </c>
      <c r="L771" s="1" t="s">
        <v>4753</v>
      </c>
      <c r="M771" s="1" t="s">
        <v>2999</v>
      </c>
      <c r="N771" s="1" t="s">
        <v>4763</v>
      </c>
      <c r="O771" s="1" t="s">
        <v>4518</v>
      </c>
      <c r="Q771" s="1">
        <v>2004</v>
      </c>
      <c r="R771" s="1" t="s">
        <v>4756</v>
      </c>
      <c r="S771" s="1" t="s">
        <v>25</v>
      </c>
      <c r="T771" s="6">
        <v>1</v>
      </c>
    </row>
    <row r="772" spans="1:172" x14ac:dyDescent="0.2">
      <c r="A772" s="1" t="s">
        <v>4764</v>
      </c>
      <c r="B772" s="1" t="s">
        <v>57</v>
      </c>
      <c r="C772" s="1" t="s">
        <v>4765</v>
      </c>
      <c r="D772" s="1" t="s">
        <v>2</v>
      </c>
      <c r="E772" s="1">
        <v>54</v>
      </c>
      <c r="F772" s="1" t="s">
        <v>4751</v>
      </c>
      <c r="G772" s="1" t="s">
        <v>4518</v>
      </c>
      <c r="H772" s="1" t="s">
        <v>4752</v>
      </c>
      <c r="I772" s="1" t="s">
        <v>7</v>
      </c>
      <c r="J772" s="1" t="s">
        <v>4753</v>
      </c>
      <c r="K772" s="1" t="s">
        <v>4754</v>
      </c>
      <c r="L772" s="1" t="s">
        <v>4753</v>
      </c>
      <c r="M772" s="1" t="s">
        <v>3001</v>
      </c>
      <c r="N772" s="1" t="s">
        <v>4766</v>
      </c>
      <c r="O772" s="1" t="s">
        <v>4518</v>
      </c>
      <c r="Q772" s="1">
        <v>2004</v>
      </c>
      <c r="R772" s="1" t="s">
        <v>4756</v>
      </c>
      <c r="S772" s="1" t="s">
        <v>25</v>
      </c>
      <c r="T772" s="6">
        <v>1</v>
      </c>
    </row>
    <row r="773" spans="1:172" x14ac:dyDescent="0.2">
      <c r="A773" s="1" t="s">
        <v>4767</v>
      </c>
      <c r="B773" s="1" t="s">
        <v>57</v>
      </c>
      <c r="C773" s="1" t="s">
        <v>4768</v>
      </c>
      <c r="D773" s="1" t="s">
        <v>2</v>
      </c>
      <c r="E773" s="1">
        <v>54</v>
      </c>
      <c r="F773" s="1" t="s">
        <v>4751</v>
      </c>
      <c r="G773" s="1" t="s">
        <v>4518</v>
      </c>
      <c r="H773" s="1" t="s">
        <v>4752</v>
      </c>
      <c r="I773" s="1" t="s">
        <v>7</v>
      </c>
      <c r="J773" s="1" t="s">
        <v>4753</v>
      </c>
      <c r="K773" s="1" t="s">
        <v>4754</v>
      </c>
      <c r="L773" s="1" t="s">
        <v>4753</v>
      </c>
      <c r="M773" s="1" t="s">
        <v>2997</v>
      </c>
      <c r="N773" s="1" t="s">
        <v>4769</v>
      </c>
      <c r="O773" s="1" t="s">
        <v>4518</v>
      </c>
      <c r="Q773" s="1">
        <v>2004</v>
      </c>
      <c r="R773" s="1" t="s">
        <v>4756</v>
      </c>
      <c r="S773" s="1" t="s">
        <v>25</v>
      </c>
      <c r="T773" s="6">
        <v>1</v>
      </c>
    </row>
    <row r="774" spans="1:172" ht="15" x14ac:dyDescent="0.25">
      <c r="A774" s="1" t="s">
        <v>4770</v>
      </c>
      <c r="B774" s="1" t="s">
        <v>1912</v>
      </c>
      <c r="C774" s="1" t="s">
        <v>4771</v>
      </c>
      <c r="D774" s="1" t="s">
        <v>2</v>
      </c>
      <c r="E774" s="1">
        <v>41</v>
      </c>
      <c r="F774" s="1" t="s">
        <v>4772</v>
      </c>
      <c r="G774" s="1" t="s">
        <v>4518</v>
      </c>
      <c r="H774" s="1" t="s">
        <v>4773</v>
      </c>
      <c r="I774" s="1" t="s">
        <v>7</v>
      </c>
      <c r="J774" s="1" t="s">
        <v>4774</v>
      </c>
      <c r="K774" s="1" t="s">
        <v>4775</v>
      </c>
      <c r="L774" s="1" t="s">
        <v>4774</v>
      </c>
      <c r="M774" s="1" t="s">
        <v>2880</v>
      </c>
      <c r="N774" s="1" t="s">
        <v>4776</v>
      </c>
      <c r="O774" s="1">
        <v>4</v>
      </c>
      <c r="Q774" s="1">
        <v>1997</v>
      </c>
      <c r="R774" s="1" t="s">
        <v>4777</v>
      </c>
      <c r="S774" s="1" t="s">
        <v>25</v>
      </c>
      <c r="T774" s="6">
        <v>1</v>
      </c>
      <c r="AE774" s="1">
        <v>0.373</v>
      </c>
      <c r="AW774" s="1">
        <v>1.8649999999999999E-3</v>
      </c>
      <c r="BA774" s="1">
        <v>5.3712000000000003E-2</v>
      </c>
      <c r="BG774" s="1">
        <v>2.6110000000000001E-2</v>
      </c>
      <c r="BZ774" s="1">
        <v>1.4546999999999999E-2</v>
      </c>
      <c r="DN774" s="1">
        <v>1.4546999999999999E-2</v>
      </c>
      <c r="EH774" s="1">
        <v>1.8649999999999999E-3</v>
      </c>
      <c r="EX774" s="1">
        <v>7.4972999999999998E-2</v>
      </c>
      <c r="FE774" s="1">
        <v>7.3854000000000003E-2</v>
      </c>
      <c r="FJ774" s="1">
        <v>1.8649999999999999E-3</v>
      </c>
      <c r="FM774" s="1">
        <v>1.7158E-2</v>
      </c>
      <c r="FO774" s="1">
        <v>8.4670999999999996E-2</v>
      </c>
      <c r="FP774" s="46">
        <v>2.6308000000000001E-4</v>
      </c>
    </row>
    <row r="775" spans="1:172" x14ac:dyDescent="0.2">
      <c r="A775" s="1" t="s">
        <v>4778</v>
      </c>
      <c r="B775" s="1" t="s">
        <v>1912</v>
      </c>
      <c r="C775" s="1" t="s">
        <v>4779</v>
      </c>
      <c r="D775" s="1" t="s">
        <v>2</v>
      </c>
      <c r="E775" s="1">
        <v>41</v>
      </c>
      <c r="F775" s="1" t="s">
        <v>4780</v>
      </c>
      <c r="G775" s="1" t="s">
        <v>4518</v>
      </c>
      <c r="H775" s="1" t="s">
        <v>4781</v>
      </c>
      <c r="I775" s="1" t="s">
        <v>7</v>
      </c>
      <c r="J775" s="1" t="s">
        <v>4782</v>
      </c>
      <c r="K775" s="1" t="s">
        <v>4783</v>
      </c>
      <c r="L775" s="1" t="s">
        <v>4782</v>
      </c>
      <c r="M775" s="1" t="s">
        <v>2880</v>
      </c>
      <c r="N775" s="1" t="s">
        <v>4784</v>
      </c>
      <c r="O775" s="1">
        <v>4</v>
      </c>
      <c r="Q775" s="1">
        <v>1997</v>
      </c>
      <c r="R775" s="1" t="s">
        <v>4777</v>
      </c>
      <c r="S775" s="1" t="s">
        <v>25</v>
      </c>
      <c r="T775" s="6">
        <v>1</v>
      </c>
      <c r="AE775" s="1">
        <v>0.371</v>
      </c>
      <c r="AW775" s="1">
        <v>2.5969999999999999E-3</v>
      </c>
      <c r="BA775" s="1">
        <v>6.1214999999999999E-2</v>
      </c>
      <c r="BG775" s="1">
        <v>2.0405E-2</v>
      </c>
      <c r="BZ775" s="1">
        <v>1.4468999999999999E-2</v>
      </c>
      <c r="DN775" s="1">
        <v>5.8247E-2</v>
      </c>
      <c r="EH775" s="1">
        <v>6.6779999999999999E-3</v>
      </c>
      <c r="EX775" s="1">
        <v>2.3373000000000001E-2</v>
      </c>
      <c r="FE775" s="1">
        <v>7.8652E-2</v>
      </c>
      <c r="FM775" s="1">
        <v>1.4840000000000001E-2</v>
      </c>
      <c r="FO775" s="1">
        <v>9.1266E-2</v>
      </c>
    </row>
    <row r="776" spans="1:172" x14ac:dyDescent="0.2">
      <c r="A776" s="1" t="s">
        <v>4785</v>
      </c>
      <c r="B776" s="1" t="s">
        <v>57</v>
      </c>
      <c r="C776" s="1" t="s">
        <v>4786</v>
      </c>
      <c r="D776" s="1" t="s">
        <v>4518</v>
      </c>
      <c r="E776" s="1">
        <v>57</v>
      </c>
      <c r="F776" s="1" t="s">
        <v>4638</v>
      </c>
      <c r="G776" s="1" t="s">
        <v>4518</v>
      </c>
      <c r="H776" s="1" t="s">
        <v>4787</v>
      </c>
      <c r="I776" s="1" t="s">
        <v>11</v>
      </c>
      <c r="J776" s="1" t="s">
        <v>4640</v>
      </c>
      <c r="K776" s="1" t="s">
        <v>4641</v>
      </c>
      <c r="L776" s="1" t="s">
        <v>4640</v>
      </c>
      <c r="M776" s="1" t="s">
        <v>4518</v>
      </c>
      <c r="N776" s="1" t="s">
        <v>4788</v>
      </c>
      <c r="O776" s="1" t="s">
        <v>4518</v>
      </c>
      <c r="P776" s="1" t="s">
        <v>4789</v>
      </c>
      <c r="Q776" s="1">
        <v>2000</v>
      </c>
      <c r="R776" s="1" t="s">
        <v>4790</v>
      </c>
      <c r="S776" s="1" t="s">
        <v>25</v>
      </c>
      <c r="T776" s="6">
        <v>1</v>
      </c>
      <c r="U776" s="1">
        <v>74.2</v>
      </c>
      <c r="X776" s="1">
        <v>0.4128</v>
      </c>
    </row>
    <row r="777" spans="1:172" x14ac:dyDescent="0.2">
      <c r="A777" s="1" t="s">
        <v>4791</v>
      </c>
      <c r="B777" s="1" t="s">
        <v>1912</v>
      </c>
      <c r="C777" s="1" t="s">
        <v>4792</v>
      </c>
      <c r="D777" s="1" t="s">
        <v>2</v>
      </c>
      <c r="E777" s="1">
        <v>41</v>
      </c>
      <c r="F777" s="1" t="s">
        <v>4138</v>
      </c>
      <c r="G777" s="1" t="s">
        <v>4518</v>
      </c>
      <c r="H777" s="1" t="s">
        <v>4793</v>
      </c>
      <c r="I777" s="1" t="s">
        <v>7</v>
      </c>
      <c r="J777" s="1" t="s">
        <v>4140</v>
      </c>
      <c r="K777" s="1" t="s">
        <v>4141</v>
      </c>
      <c r="L777" s="1" t="s">
        <v>4140</v>
      </c>
      <c r="M777" s="1" t="s">
        <v>2571</v>
      </c>
      <c r="N777" s="1" t="s">
        <v>4794</v>
      </c>
      <c r="O777" s="1" t="s">
        <v>4518</v>
      </c>
      <c r="P777" s="1" t="s">
        <v>1270</v>
      </c>
      <c r="Q777" s="1">
        <v>2007</v>
      </c>
      <c r="R777" s="1" t="s">
        <v>4795</v>
      </c>
      <c r="S777" s="1" t="s">
        <v>25</v>
      </c>
      <c r="T777" s="6">
        <v>1</v>
      </c>
      <c r="U777" s="1">
        <v>47.87</v>
      </c>
      <c r="V777" s="1">
        <v>18.75</v>
      </c>
      <c r="Y777" s="1">
        <v>3.7422240000000002</v>
      </c>
      <c r="Z777" s="1">
        <v>7.2549720000000004</v>
      </c>
      <c r="AA777" s="1">
        <v>6.1605480000000004</v>
      </c>
      <c r="AD777" s="1">
        <v>0.94144000000000005</v>
      </c>
      <c r="AF777" s="1">
        <v>3.7951800000000002</v>
      </c>
      <c r="AG777" s="1">
        <v>2.3653680000000001</v>
      </c>
      <c r="AW777" s="1">
        <v>0.15886800000000001</v>
      </c>
      <c r="BA777" s="1">
        <v>0.15886800000000001</v>
      </c>
      <c r="BD777" s="1">
        <v>0.15886800000000001</v>
      </c>
      <c r="BG777" s="1">
        <v>0.98851199999999995</v>
      </c>
      <c r="BZ777" s="1">
        <v>1.2885960000000001</v>
      </c>
      <c r="CK777" s="1">
        <v>4.2364800000000002</v>
      </c>
      <c r="CM777" s="1">
        <v>0.67077600000000004</v>
      </c>
      <c r="CZ777" s="1">
        <v>0.82964400000000005</v>
      </c>
      <c r="DN777" s="1">
        <v>0.37069200000000002</v>
      </c>
      <c r="EX777" s="1">
        <v>1.3768560000000001</v>
      </c>
      <c r="FA777" s="1">
        <v>0.14121600000000001</v>
      </c>
      <c r="FE777" s="1">
        <v>1.8887640000000001</v>
      </c>
      <c r="FJ777" s="1">
        <v>0.14121600000000001</v>
      </c>
      <c r="FM777" s="1">
        <v>1.7652000000000001</v>
      </c>
    </row>
    <row r="778" spans="1:172" x14ac:dyDescent="0.2">
      <c r="A778" s="1" t="s">
        <v>4796</v>
      </c>
      <c r="B778" s="1" t="s">
        <v>1912</v>
      </c>
      <c r="C778" s="1" t="s">
        <v>4792</v>
      </c>
      <c r="D778" s="1" t="s">
        <v>2</v>
      </c>
      <c r="E778" s="1">
        <v>41</v>
      </c>
      <c r="F778" s="1" t="s">
        <v>4138</v>
      </c>
      <c r="G778" s="1" t="s">
        <v>4518</v>
      </c>
      <c r="H778" s="1" t="s">
        <v>4797</v>
      </c>
      <c r="I778" s="1" t="s">
        <v>7</v>
      </c>
      <c r="J778" s="1" t="s">
        <v>4140</v>
      </c>
      <c r="K778" s="1" t="s">
        <v>4141</v>
      </c>
      <c r="L778" s="1" t="s">
        <v>4140</v>
      </c>
      <c r="M778" s="1" t="s">
        <v>2571</v>
      </c>
      <c r="N778" s="1" t="s">
        <v>4794</v>
      </c>
      <c r="O778" s="1" t="s">
        <v>4518</v>
      </c>
      <c r="P778" s="1" t="s">
        <v>1270</v>
      </c>
      <c r="Q778" s="1">
        <v>2007</v>
      </c>
      <c r="R778" s="1" t="s">
        <v>4795</v>
      </c>
      <c r="S778" s="1" t="s">
        <v>25</v>
      </c>
      <c r="T778" s="6">
        <v>1</v>
      </c>
      <c r="U778" s="1">
        <v>76.52</v>
      </c>
      <c r="V778" s="1">
        <v>2.2400000000000002</v>
      </c>
      <c r="Y778" s="1">
        <v>0.40171459999999998</v>
      </c>
      <c r="Z778" s="1">
        <v>0.80529764000000004</v>
      </c>
      <c r="AA778" s="1">
        <v>0.61845364000000003</v>
      </c>
      <c r="AD778" s="1">
        <v>0.83412500000000001</v>
      </c>
      <c r="AF778" s="1">
        <v>0.30268728</v>
      </c>
      <c r="AG778" s="1">
        <v>0.31576636000000002</v>
      </c>
      <c r="AW778" s="1">
        <v>1.6815960000000001E-2</v>
      </c>
      <c r="BA778" s="1">
        <v>1.6815960000000001E-2</v>
      </c>
      <c r="BD778" s="1">
        <v>5.6053199999999996E-3</v>
      </c>
      <c r="BG778" s="1">
        <v>8.4079799999999996E-2</v>
      </c>
      <c r="BZ778" s="1">
        <v>0.11023796</v>
      </c>
      <c r="CK778" s="1">
        <v>0.51755788000000003</v>
      </c>
      <c r="CM778" s="1">
        <v>9.3422000000000005E-2</v>
      </c>
      <c r="CZ778" s="1">
        <v>8.2211359999999997E-2</v>
      </c>
      <c r="DN778" s="1">
        <v>0.21113372</v>
      </c>
      <c r="EX778" s="1">
        <v>9.5290440000000004E-2</v>
      </c>
      <c r="FA778" s="1">
        <v>9.3422000000000002E-3</v>
      </c>
      <c r="FE778" s="1">
        <v>0.17563335999999999</v>
      </c>
      <c r="FJ778" s="1">
        <v>1.1210639999999999E-2</v>
      </c>
      <c r="FM778" s="1">
        <v>0.11397483999999999</v>
      </c>
    </row>
    <row r="779" spans="1:172" x14ac:dyDescent="0.2">
      <c r="A779" s="1" t="s">
        <v>4798</v>
      </c>
      <c r="B779" s="1" t="s">
        <v>1912</v>
      </c>
      <c r="C779" s="1" t="s">
        <v>4792</v>
      </c>
      <c r="D779" s="1" t="s">
        <v>2</v>
      </c>
      <c r="E779" s="1">
        <v>41</v>
      </c>
      <c r="F779" s="1" t="s">
        <v>4138</v>
      </c>
      <c r="G779" s="1" t="s">
        <v>4518</v>
      </c>
      <c r="H779" s="1" t="s">
        <v>4799</v>
      </c>
      <c r="I779" s="1" t="s">
        <v>7</v>
      </c>
      <c r="J779" s="1" t="s">
        <v>4140</v>
      </c>
      <c r="K779" s="1" t="s">
        <v>4141</v>
      </c>
      <c r="L779" s="1" t="s">
        <v>4140</v>
      </c>
      <c r="M779" s="1" t="s">
        <v>2571</v>
      </c>
      <c r="N779" s="1" t="s">
        <v>4800</v>
      </c>
      <c r="O779" s="1" t="s">
        <v>4518</v>
      </c>
      <c r="P779" s="1" t="s">
        <v>1270</v>
      </c>
      <c r="Q779" s="1">
        <v>2007</v>
      </c>
      <c r="R779" s="1" t="s">
        <v>4795</v>
      </c>
      <c r="S779" s="1" t="s">
        <v>25</v>
      </c>
      <c r="T779" s="6">
        <v>1</v>
      </c>
      <c r="U779" s="1">
        <v>79.36</v>
      </c>
      <c r="V779" s="1">
        <v>1.48</v>
      </c>
      <c r="Y779" s="1">
        <v>0.25806488</v>
      </c>
      <c r="Z779" s="1">
        <v>0.39166484000000001</v>
      </c>
      <c r="AA779" s="1">
        <v>0.40650927999999997</v>
      </c>
      <c r="AD779" s="1">
        <v>0.77154054054054</v>
      </c>
      <c r="AF779" s="1">
        <v>0.27976060000000003</v>
      </c>
      <c r="AG779" s="1">
        <v>0.12789055999999999</v>
      </c>
      <c r="AW779" s="1">
        <v>4.5675200000000003E-3</v>
      </c>
      <c r="BA779" s="1">
        <v>4.5675200000000003E-3</v>
      </c>
      <c r="BD779" s="1">
        <v>1.2560679999999999E-2</v>
      </c>
      <c r="BG779" s="1">
        <v>7.1938440000000006E-2</v>
      </c>
      <c r="BZ779" s="1">
        <v>4.4533320000000001E-2</v>
      </c>
      <c r="CK779" s="1">
        <v>0.24550420000000001</v>
      </c>
      <c r="CM779" s="1">
        <v>4.910084E-2</v>
      </c>
      <c r="CZ779" s="1">
        <v>5.0242719999999998E-2</v>
      </c>
      <c r="DN779" s="1">
        <v>4.3391440000000003E-2</v>
      </c>
      <c r="EH779" s="1">
        <v>1.5986319999999998E-2</v>
      </c>
      <c r="EX779" s="1">
        <v>5.9377760000000002E-2</v>
      </c>
      <c r="FA779" s="1">
        <v>1.71282E-2</v>
      </c>
      <c r="FE779" s="1">
        <v>0.12446492000000001</v>
      </c>
      <c r="FJ779" s="1">
        <v>7.9931599999999992E-3</v>
      </c>
      <c r="FM779" s="1">
        <v>0.13017432000000001</v>
      </c>
    </row>
    <row r="780" spans="1:172" x14ac:dyDescent="0.2">
      <c r="A780" s="1" t="s">
        <v>4801</v>
      </c>
      <c r="B780" s="1" t="s">
        <v>57</v>
      </c>
      <c r="C780" s="1" t="s">
        <v>4802</v>
      </c>
      <c r="D780" s="1" t="s">
        <v>2</v>
      </c>
      <c r="E780" s="1">
        <v>54</v>
      </c>
      <c r="F780" s="1" t="s">
        <v>4803</v>
      </c>
      <c r="H780" s="1" t="s">
        <v>4804</v>
      </c>
      <c r="I780" s="1" t="s">
        <v>7</v>
      </c>
      <c r="J780" s="1" t="s">
        <v>4805</v>
      </c>
      <c r="K780" s="1" t="s">
        <v>4806</v>
      </c>
      <c r="L780" s="1" t="s">
        <v>4805</v>
      </c>
      <c r="M780" s="1" t="s">
        <v>2967</v>
      </c>
      <c r="P780" s="1" t="s">
        <v>4807</v>
      </c>
      <c r="Q780" s="1">
        <v>1998</v>
      </c>
      <c r="R780" s="1" t="s">
        <v>4808</v>
      </c>
      <c r="S780" s="1" t="s">
        <v>27</v>
      </c>
      <c r="T780" s="6">
        <v>1</v>
      </c>
      <c r="U780" s="1" t="s">
        <v>4809</v>
      </c>
      <c r="V780" s="1">
        <v>3.49</v>
      </c>
    </row>
    <row r="781" spans="1:172" x14ac:dyDescent="0.2">
      <c r="A781" s="1" t="s">
        <v>4810</v>
      </c>
      <c r="B781" s="1" t="s">
        <v>57</v>
      </c>
      <c r="C781" s="1" t="s">
        <v>4802</v>
      </c>
      <c r="D781" s="1" t="s">
        <v>2</v>
      </c>
      <c r="E781" s="1">
        <v>54</v>
      </c>
      <c r="F781" s="1" t="s">
        <v>4803</v>
      </c>
      <c r="H781" s="1" t="s">
        <v>4804</v>
      </c>
      <c r="I781" s="1" t="s">
        <v>7</v>
      </c>
      <c r="J781" s="1" t="s">
        <v>4805</v>
      </c>
      <c r="K781" s="1" t="s">
        <v>4806</v>
      </c>
      <c r="L781" s="1" t="s">
        <v>4805</v>
      </c>
      <c r="M781" s="1" t="s">
        <v>817</v>
      </c>
      <c r="P781" s="1" t="s">
        <v>4807</v>
      </c>
      <c r="Q781" s="1">
        <v>1998</v>
      </c>
      <c r="R781" s="1" t="s">
        <v>4808</v>
      </c>
      <c r="S781" s="1" t="s">
        <v>27</v>
      </c>
      <c r="T781" s="6">
        <v>1</v>
      </c>
      <c r="U781" s="1" t="s">
        <v>4811</v>
      </c>
      <c r="V781" s="1">
        <v>3.36</v>
      </c>
    </row>
    <row r="782" spans="1:172" x14ac:dyDescent="0.2">
      <c r="A782" s="1" t="s">
        <v>4812</v>
      </c>
      <c r="B782" s="1" t="s">
        <v>57</v>
      </c>
      <c r="C782" s="1" t="s">
        <v>4802</v>
      </c>
      <c r="D782" s="1" t="s">
        <v>2</v>
      </c>
      <c r="E782" s="1">
        <v>54</v>
      </c>
      <c r="F782" s="1" t="s">
        <v>4803</v>
      </c>
      <c r="H782" s="1" t="s">
        <v>4804</v>
      </c>
      <c r="I782" s="1" t="s">
        <v>7</v>
      </c>
      <c r="J782" s="1" t="s">
        <v>4805</v>
      </c>
      <c r="K782" s="1" t="s">
        <v>4806</v>
      </c>
      <c r="L782" s="1" t="s">
        <v>4805</v>
      </c>
      <c r="M782" s="1" t="s">
        <v>2890</v>
      </c>
      <c r="P782" s="1" t="s">
        <v>4807</v>
      </c>
      <c r="Q782" s="1">
        <v>1998</v>
      </c>
      <c r="R782" s="1" t="s">
        <v>4808</v>
      </c>
      <c r="S782" s="1" t="s">
        <v>27</v>
      </c>
      <c r="T782" s="6">
        <v>1</v>
      </c>
      <c r="U782" s="1" t="s">
        <v>4813</v>
      </c>
      <c r="V782" s="1">
        <v>3.78</v>
      </c>
    </row>
    <row r="783" spans="1:172" x14ac:dyDescent="0.2">
      <c r="A783" s="1" t="s">
        <v>4814</v>
      </c>
      <c r="B783" s="1" t="s">
        <v>57</v>
      </c>
      <c r="C783" s="1" t="s">
        <v>4802</v>
      </c>
      <c r="D783" s="1" t="s">
        <v>2</v>
      </c>
      <c r="E783" s="1">
        <v>54</v>
      </c>
      <c r="F783" s="1" t="s">
        <v>4803</v>
      </c>
      <c r="H783" s="1" t="s">
        <v>4804</v>
      </c>
      <c r="I783" s="1" t="s">
        <v>7</v>
      </c>
      <c r="J783" s="1" t="s">
        <v>4805</v>
      </c>
      <c r="K783" s="1" t="s">
        <v>4806</v>
      </c>
      <c r="L783" s="1" t="s">
        <v>4805</v>
      </c>
      <c r="M783" s="1" t="s">
        <v>4270</v>
      </c>
      <c r="P783" s="1" t="s">
        <v>4807</v>
      </c>
      <c r="Q783" s="1">
        <v>1998</v>
      </c>
      <c r="R783" s="1" t="s">
        <v>4808</v>
      </c>
      <c r="S783" s="1" t="s">
        <v>27</v>
      </c>
      <c r="T783" s="6">
        <v>1</v>
      </c>
      <c r="U783" s="1" t="s">
        <v>1320</v>
      </c>
      <c r="V783" s="1">
        <v>2.56</v>
      </c>
    </row>
    <row r="784" spans="1:172" x14ac:dyDescent="0.2">
      <c r="A784" s="1" t="s">
        <v>4815</v>
      </c>
      <c r="B784" s="1" t="s">
        <v>57</v>
      </c>
      <c r="C784" s="1" t="s">
        <v>4802</v>
      </c>
      <c r="D784" s="1" t="s">
        <v>2</v>
      </c>
      <c r="E784" s="1">
        <v>54</v>
      </c>
      <c r="F784" s="1" t="s">
        <v>4803</v>
      </c>
      <c r="H784" s="1" t="s">
        <v>4804</v>
      </c>
      <c r="I784" s="1" t="s">
        <v>7</v>
      </c>
      <c r="J784" s="1" t="s">
        <v>4805</v>
      </c>
      <c r="K784" s="1" t="s">
        <v>4806</v>
      </c>
      <c r="L784" s="1" t="s">
        <v>4805</v>
      </c>
      <c r="M784" s="1" t="s">
        <v>749</v>
      </c>
      <c r="P784" s="1" t="s">
        <v>4807</v>
      </c>
      <c r="Q784" s="1">
        <v>1998</v>
      </c>
      <c r="R784" s="1" t="s">
        <v>4808</v>
      </c>
      <c r="S784" s="1" t="s">
        <v>27</v>
      </c>
      <c r="T784" s="6">
        <v>1</v>
      </c>
      <c r="U784" s="1" t="s">
        <v>4816</v>
      </c>
      <c r="V784" s="1">
        <v>2.69</v>
      </c>
    </row>
    <row r="785" spans="1:169" x14ac:dyDescent="0.2">
      <c r="A785" s="1" t="s">
        <v>4817</v>
      </c>
      <c r="B785" s="1" t="s">
        <v>57</v>
      </c>
      <c r="C785" s="1" t="s">
        <v>4802</v>
      </c>
      <c r="D785" s="1" t="s">
        <v>2</v>
      </c>
      <c r="E785" s="1">
        <v>54</v>
      </c>
      <c r="F785" s="1" t="s">
        <v>4803</v>
      </c>
      <c r="H785" s="1" t="s">
        <v>4804</v>
      </c>
      <c r="I785" s="1" t="s">
        <v>7</v>
      </c>
      <c r="J785" s="1" t="s">
        <v>4805</v>
      </c>
      <c r="K785" s="1" t="s">
        <v>4806</v>
      </c>
      <c r="L785" s="1" t="s">
        <v>4805</v>
      </c>
      <c r="M785" s="1" t="s">
        <v>758</v>
      </c>
      <c r="P785" s="1" t="s">
        <v>4807</v>
      </c>
      <c r="Q785" s="1">
        <v>1998</v>
      </c>
      <c r="R785" s="1" t="s">
        <v>4808</v>
      </c>
      <c r="S785" s="1" t="s">
        <v>27</v>
      </c>
      <c r="T785" s="6">
        <v>1</v>
      </c>
      <c r="U785" s="1" t="s">
        <v>4818</v>
      </c>
      <c r="V785" s="1">
        <v>3.11</v>
      </c>
    </row>
    <row r="786" spans="1:169" x14ac:dyDescent="0.2">
      <c r="A786" s="1" t="s">
        <v>4819</v>
      </c>
      <c r="B786" s="1" t="s">
        <v>57</v>
      </c>
      <c r="C786" s="1" t="s">
        <v>4802</v>
      </c>
      <c r="D786" s="1" t="s">
        <v>2</v>
      </c>
      <c r="E786" s="1">
        <v>54</v>
      </c>
      <c r="F786" s="1" t="s">
        <v>4803</v>
      </c>
      <c r="H786" s="1" t="s">
        <v>4804</v>
      </c>
      <c r="I786" s="1" t="s">
        <v>7</v>
      </c>
      <c r="J786" s="1" t="s">
        <v>4805</v>
      </c>
      <c r="K786" s="1" t="s">
        <v>4806</v>
      </c>
      <c r="L786" s="1" t="s">
        <v>4805</v>
      </c>
      <c r="M786" s="1" t="s">
        <v>3226</v>
      </c>
      <c r="P786" s="1" t="s">
        <v>4807</v>
      </c>
      <c r="Q786" s="1">
        <v>1998</v>
      </c>
      <c r="R786" s="1" t="s">
        <v>4808</v>
      </c>
      <c r="S786" s="1" t="s">
        <v>27</v>
      </c>
      <c r="T786" s="6">
        <v>1</v>
      </c>
      <c r="U786" s="1" t="s">
        <v>4820</v>
      </c>
      <c r="V786" s="1">
        <v>3.18</v>
      </c>
    </row>
    <row r="787" spans="1:169" x14ac:dyDescent="0.2">
      <c r="A787" s="1" t="s">
        <v>4821</v>
      </c>
      <c r="B787" s="1" t="s">
        <v>57</v>
      </c>
      <c r="C787" s="1" t="s">
        <v>4802</v>
      </c>
      <c r="D787" s="1" t="s">
        <v>2</v>
      </c>
      <c r="E787" s="1">
        <v>54</v>
      </c>
      <c r="F787" s="1" t="s">
        <v>4803</v>
      </c>
      <c r="H787" s="1" t="s">
        <v>4804</v>
      </c>
      <c r="I787" s="1" t="s">
        <v>7</v>
      </c>
      <c r="J787" s="1" t="s">
        <v>4805</v>
      </c>
      <c r="K787" s="1" t="s">
        <v>4806</v>
      </c>
      <c r="L787" s="1" t="s">
        <v>4805</v>
      </c>
      <c r="M787" s="1" t="s">
        <v>2974</v>
      </c>
      <c r="P787" s="1" t="s">
        <v>4807</v>
      </c>
      <c r="Q787" s="1">
        <v>1998</v>
      </c>
      <c r="R787" s="1" t="s">
        <v>4808</v>
      </c>
      <c r="S787" s="1" t="s">
        <v>27</v>
      </c>
      <c r="T787" s="6">
        <v>1</v>
      </c>
      <c r="U787" s="1" t="s">
        <v>4822</v>
      </c>
      <c r="V787" s="1">
        <v>3.36</v>
      </c>
    </row>
    <row r="788" spans="1:169" x14ac:dyDescent="0.2">
      <c r="A788" s="1" t="s">
        <v>4823</v>
      </c>
      <c r="B788" s="1" t="s">
        <v>57</v>
      </c>
      <c r="C788" s="1" t="s">
        <v>4802</v>
      </c>
      <c r="D788" s="1" t="s">
        <v>2</v>
      </c>
      <c r="E788" s="1">
        <v>54</v>
      </c>
      <c r="F788" s="1" t="s">
        <v>4803</v>
      </c>
      <c r="H788" s="1" t="s">
        <v>4804</v>
      </c>
      <c r="I788" s="1" t="s">
        <v>7</v>
      </c>
      <c r="J788" s="1" t="s">
        <v>4805</v>
      </c>
      <c r="K788" s="1" t="s">
        <v>4806</v>
      </c>
      <c r="L788" s="1" t="s">
        <v>4805</v>
      </c>
      <c r="M788" s="1" t="s">
        <v>1293</v>
      </c>
      <c r="P788" s="1" t="s">
        <v>4807</v>
      </c>
      <c r="Q788" s="1">
        <v>1998</v>
      </c>
      <c r="R788" s="1" t="s">
        <v>4808</v>
      </c>
      <c r="S788" s="1" t="s">
        <v>27</v>
      </c>
      <c r="T788" s="6">
        <v>1</v>
      </c>
      <c r="U788" s="1" t="s">
        <v>4824</v>
      </c>
      <c r="V788" s="1">
        <v>3.35</v>
      </c>
    </row>
    <row r="789" spans="1:169" x14ac:dyDescent="0.2">
      <c r="A789" s="1" t="s">
        <v>4825</v>
      </c>
      <c r="B789" s="1" t="s">
        <v>57</v>
      </c>
      <c r="C789" s="1" t="s">
        <v>4802</v>
      </c>
      <c r="D789" s="1" t="s">
        <v>2</v>
      </c>
      <c r="E789" s="1">
        <v>54</v>
      </c>
      <c r="F789" s="1" t="s">
        <v>4803</v>
      </c>
      <c r="H789" s="1" t="s">
        <v>4804</v>
      </c>
      <c r="I789" s="1" t="s">
        <v>7</v>
      </c>
      <c r="J789" s="1" t="s">
        <v>4805</v>
      </c>
      <c r="K789" s="1" t="s">
        <v>4806</v>
      </c>
      <c r="L789" s="1" t="s">
        <v>4805</v>
      </c>
      <c r="M789" s="1" t="s">
        <v>481</v>
      </c>
      <c r="P789" s="1" t="s">
        <v>4807</v>
      </c>
      <c r="Q789" s="1">
        <v>1998</v>
      </c>
      <c r="R789" s="1" t="s">
        <v>4808</v>
      </c>
      <c r="S789" s="1" t="s">
        <v>27</v>
      </c>
      <c r="T789" s="6">
        <v>1</v>
      </c>
      <c r="U789" s="1" t="s">
        <v>4826</v>
      </c>
      <c r="V789" s="1">
        <v>3.58</v>
      </c>
    </row>
    <row r="790" spans="1:169" x14ac:dyDescent="0.2">
      <c r="A790" s="1" t="s">
        <v>4827</v>
      </c>
      <c r="B790" s="1" t="s">
        <v>57</v>
      </c>
      <c r="C790" s="1" t="s">
        <v>4802</v>
      </c>
      <c r="D790" s="1" t="s">
        <v>2</v>
      </c>
      <c r="E790" s="1">
        <v>54</v>
      </c>
      <c r="F790" s="1" t="s">
        <v>4803</v>
      </c>
      <c r="H790" s="1" t="s">
        <v>4804</v>
      </c>
      <c r="I790" s="1" t="s">
        <v>7</v>
      </c>
      <c r="J790" s="1" t="s">
        <v>4805</v>
      </c>
      <c r="K790" s="1" t="s">
        <v>4806</v>
      </c>
      <c r="L790" s="1" t="s">
        <v>4805</v>
      </c>
      <c r="M790" s="1" t="s">
        <v>1284</v>
      </c>
      <c r="P790" s="1" t="s">
        <v>4807</v>
      </c>
      <c r="Q790" s="1">
        <v>1998</v>
      </c>
      <c r="R790" s="1" t="s">
        <v>4808</v>
      </c>
      <c r="S790" s="1" t="s">
        <v>27</v>
      </c>
      <c r="T790" s="6">
        <v>1</v>
      </c>
      <c r="U790" s="1" t="s">
        <v>4828</v>
      </c>
      <c r="V790" s="1">
        <v>2.7</v>
      </c>
    </row>
    <row r="791" spans="1:169" x14ac:dyDescent="0.2">
      <c r="A791" s="1" t="s">
        <v>4829</v>
      </c>
      <c r="B791" s="1" t="s">
        <v>57</v>
      </c>
      <c r="C791" s="1" t="s">
        <v>4802</v>
      </c>
      <c r="D791" s="1" t="s">
        <v>2</v>
      </c>
      <c r="E791" s="1">
        <v>54</v>
      </c>
      <c r="F791" s="1" t="s">
        <v>4803</v>
      </c>
      <c r="H791" s="1" t="s">
        <v>4804</v>
      </c>
      <c r="I791" s="1" t="s">
        <v>7</v>
      </c>
      <c r="J791" s="1" t="s">
        <v>4805</v>
      </c>
      <c r="K791" s="1" t="s">
        <v>4806</v>
      </c>
      <c r="L791" s="1" t="s">
        <v>4805</v>
      </c>
      <c r="M791" s="1" t="s">
        <v>3316</v>
      </c>
      <c r="P791" s="1" t="s">
        <v>4807</v>
      </c>
      <c r="Q791" s="1">
        <v>1998</v>
      </c>
      <c r="R791" s="1" t="s">
        <v>4808</v>
      </c>
      <c r="S791" s="1" t="s">
        <v>27</v>
      </c>
      <c r="T791" s="6">
        <v>1</v>
      </c>
      <c r="U791" s="1" t="s">
        <v>4830</v>
      </c>
      <c r="V791" s="1">
        <v>3.69</v>
      </c>
    </row>
    <row r="792" spans="1:169" x14ac:dyDescent="0.2">
      <c r="A792" s="1" t="s">
        <v>4831</v>
      </c>
      <c r="B792" s="1" t="s">
        <v>57</v>
      </c>
      <c r="C792" s="1" t="s">
        <v>4832</v>
      </c>
      <c r="E792" s="1">
        <v>56</v>
      </c>
      <c r="F792" s="1" t="s">
        <v>3849</v>
      </c>
      <c r="H792" s="1" t="s">
        <v>4833</v>
      </c>
      <c r="I792" s="1" t="s">
        <v>7</v>
      </c>
      <c r="J792" s="1" t="s">
        <v>4834</v>
      </c>
      <c r="K792" s="1" t="s">
        <v>3852</v>
      </c>
      <c r="L792" s="1" t="s">
        <v>4835</v>
      </c>
      <c r="P792" s="1" t="s">
        <v>4836</v>
      </c>
      <c r="Q792" s="1">
        <v>1987</v>
      </c>
      <c r="R792" s="1" t="s">
        <v>4837</v>
      </c>
      <c r="S792" s="1" t="s">
        <v>27</v>
      </c>
      <c r="T792" s="6">
        <v>1</v>
      </c>
      <c r="U792" s="1">
        <v>81.5</v>
      </c>
      <c r="X792" s="1">
        <v>3.6629999999999998</v>
      </c>
    </row>
    <row r="793" spans="1:169" x14ac:dyDescent="0.2">
      <c r="A793" s="1" t="s">
        <v>4838</v>
      </c>
      <c r="B793" s="1" t="s">
        <v>57</v>
      </c>
      <c r="C793" s="1" t="s">
        <v>4839</v>
      </c>
      <c r="D793" s="1" t="s">
        <v>2</v>
      </c>
      <c r="E793" s="1">
        <v>53</v>
      </c>
      <c r="F793" s="1" t="s">
        <v>3879</v>
      </c>
      <c r="H793" s="1" t="s">
        <v>4840</v>
      </c>
      <c r="I793" s="1" t="s">
        <v>7</v>
      </c>
      <c r="J793" s="1" t="s">
        <v>3881</v>
      </c>
      <c r="K793" s="1" t="s">
        <v>3882</v>
      </c>
      <c r="L793" s="1" t="s">
        <v>3881</v>
      </c>
      <c r="M793" s="1" t="s">
        <v>3013</v>
      </c>
      <c r="O793" s="1">
        <v>3</v>
      </c>
      <c r="P793" s="1" t="s">
        <v>2930</v>
      </c>
      <c r="Q793" s="1">
        <v>2004</v>
      </c>
      <c r="R793" s="1" t="s">
        <v>4841</v>
      </c>
      <c r="S793" s="1" t="s">
        <v>27</v>
      </c>
      <c r="T793" s="6">
        <v>1</v>
      </c>
      <c r="U793" s="1">
        <v>86.68</v>
      </c>
      <c r="V793" s="1">
        <v>0.88</v>
      </c>
      <c r="Y793" s="1">
        <v>0.21020543999999999</v>
      </c>
      <c r="Z793" s="1">
        <v>7.4267135999999997E-2</v>
      </c>
      <c r="AA793" s="1">
        <v>0.233597952</v>
      </c>
      <c r="AD793" s="1">
        <v>0.61963636363636398</v>
      </c>
      <c r="AF793" s="1">
        <v>0.20807884800000001</v>
      </c>
      <c r="AG793" s="1">
        <v>2.5573631999999999E-2</v>
      </c>
      <c r="AU793" s="1">
        <v>4.9075200000000001E-4</v>
      </c>
      <c r="AV793" s="1">
        <v>1.6358400000000001E-4</v>
      </c>
      <c r="AW793" s="1">
        <v>1.3413888000000001E-2</v>
      </c>
      <c r="AY793" s="1">
        <v>3.9805439999999999E-3</v>
      </c>
      <c r="BA793" s="1">
        <v>0.15382348800000001</v>
      </c>
      <c r="BD793" s="1">
        <v>6.9250559999999997E-3</v>
      </c>
      <c r="BG793" s="1">
        <v>2.9663232000000001E-2</v>
      </c>
      <c r="BI793" s="1">
        <v>2.1811199999999999E-4</v>
      </c>
      <c r="BJ793" s="1">
        <v>1.63584E-3</v>
      </c>
      <c r="BQ793" s="1">
        <v>2.1811199999999999E-4</v>
      </c>
      <c r="BZ793" s="1">
        <v>1.3959167999999999E-2</v>
      </c>
      <c r="CK793" s="1">
        <v>3.789696E-2</v>
      </c>
      <c r="CM793" s="1">
        <v>1.7448959999999999E-2</v>
      </c>
      <c r="CV793" s="1">
        <v>4.5258240000000003E-3</v>
      </c>
      <c r="DB793" s="1">
        <v>2.7263999999999999E-4</v>
      </c>
      <c r="DN793" s="1">
        <v>1.6031231999999999E-2</v>
      </c>
      <c r="DT793" s="1">
        <v>1.7448959999999999E-3</v>
      </c>
      <c r="ED793" s="1">
        <v>9.2697600000000004E-4</v>
      </c>
      <c r="EH793" s="1">
        <v>3.7733375999999999E-2</v>
      </c>
      <c r="ET793" s="1">
        <v>2.9390592E-2</v>
      </c>
      <c r="EX793" s="1">
        <v>6.0526080000000001E-3</v>
      </c>
      <c r="FB793" s="1">
        <v>8.7244799999999995E-4</v>
      </c>
      <c r="FE793" s="1">
        <v>5.4800639999999998E-2</v>
      </c>
      <c r="FJ793" s="1">
        <v>6.2707199999999996E-3</v>
      </c>
      <c r="FM793" s="1">
        <v>7.9938047999999998E-2</v>
      </c>
    </row>
    <row r="794" spans="1:169" x14ac:dyDescent="0.2">
      <c r="A794" s="1" t="s">
        <v>4842</v>
      </c>
      <c r="B794" s="1" t="s">
        <v>57</v>
      </c>
      <c r="C794" s="1" t="s">
        <v>4839</v>
      </c>
      <c r="D794" s="1" t="s">
        <v>2</v>
      </c>
      <c r="E794" s="1">
        <v>53</v>
      </c>
      <c r="F794" s="1" t="s">
        <v>3879</v>
      </c>
      <c r="H794" s="1" t="s">
        <v>4840</v>
      </c>
      <c r="I794" s="1" t="s">
        <v>7</v>
      </c>
      <c r="J794" s="1" t="s">
        <v>3881</v>
      </c>
      <c r="K794" s="1" t="s">
        <v>3882</v>
      </c>
      <c r="L794" s="1" t="s">
        <v>3881</v>
      </c>
      <c r="M794" s="1" t="s">
        <v>4843</v>
      </c>
      <c r="O794" s="1">
        <v>3</v>
      </c>
      <c r="P794" s="1" t="s">
        <v>2930</v>
      </c>
      <c r="Q794" s="1">
        <v>2004</v>
      </c>
      <c r="R794" s="1" t="s">
        <v>4841</v>
      </c>
      <c r="S794" s="1" t="s">
        <v>27</v>
      </c>
      <c r="T794" s="6">
        <v>1</v>
      </c>
      <c r="U794" s="1">
        <v>93.88</v>
      </c>
      <c r="V794" s="1">
        <v>0.3</v>
      </c>
      <c r="Y794" s="1">
        <v>3.82421493E-2</v>
      </c>
      <c r="Z794" s="1">
        <v>2.6497510200000001E-2</v>
      </c>
      <c r="AA794" s="1">
        <v>5.4348724799999998E-2</v>
      </c>
      <c r="AD794" s="1">
        <v>0.41781000000000001</v>
      </c>
      <c r="AF794" s="1">
        <v>4.3255869299999999E-2</v>
      </c>
      <c r="AG794" s="1">
        <v>1.10928555E-2</v>
      </c>
      <c r="AU794" s="1">
        <v>2.2561740000000001E-4</v>
      </c>
      <c r="AV794" s="1">
        <v>8.7740100000000004E-5</v>
      </c>
      <c r="AW794" s="1">
        <v>3.0959720999999998E-3</v>
      </c>
      <c r="AY794" s="1">
        <v>1.754802E-3</v>
      </c>
      <c r="BA794" s="1">
        <v>2.3915444399999999E-2</v>
      </c>
      <c r="BD794" s="1">
        <v>1.9428164999999999E-3</v>
      </c>
      <c r="BG794" s="1">
        <v>6.9063993000000002E-3</v>
      </c>
      <c r="BI794" s="1">
        <v>1.7548020000000001E-4</v>
      </c>
      <c r="BJ794" s="1">
        <v>1.7548020000000001E-4</v>
      </c>
      <c r="BQ794" s="1">
        <v>1.002744E-4</v>
      </c>
      <c r="BZ794" s="1">
        <v>6.5053016999999996E-3</v>
      </c>
      <c r="CK794" s="1">
        <v>1.24716285E-2</v>
      </c>
      <c r="CM794" s="1">
        <v>5.8409838000000004E-3</v>
      </c>
      <c r="CV794" s="1">
        <v>1.5166502999999999E-3</v>
      </c>
      <c r="DB794" s="1">
        <v>1.002744E-4</v>
      </c>
      <c r="DN794" s="1">
        <v>5.5025576999999997E-3</v>
      </c>
      <c r="DT794" s="1">
        <v>3.0082319999999999E-4</v>
      </c>
      <c r="ED794" s="1">
        <v>2.381517E-4</v>
      </c>
      <c r="EH794" s="1">
        <v>2.1433653E-3</v>
      </c>
      <c r="ET794" s="1">
        <v>2.5068600000000001E-3</v>
      </c>
      <c r="EX794" s="1">
        <v>3.0333005999999998E-3</v>
      </c>
      <c r="FB794" s="1">
        <v>7.8966089999999995E-4</v>
      </c>
      <c r="FE794" s="1">
        <v>1.14187473E-2</v>
      </c>
      <c r="FJ794" s="1">
        <v>2.1809682000000002E-3</v>
      </c>
      <c r="FM794" s="1">
        <v>2.50059285E-2</v>
      </c>
    </row>
    <row r="795" spans="1:169" x14ac:dyDescent="0.2">
      <c r="A795" s="1" t="s">
        <v>4845</v>
      </c>
      <c r="B795" s="1" t="s">
        <v>57</v>
      </c>
      <c r="C795" s="1" t="s">
        <v>4839</v>
      </c>
      <c r="D795" s="1" t="s">
        <v>2</v>
      </c>
      <c r="E795" s="1">
        <v>53</v>
      </c>
      <c r="F795" s="1" t="s">
        <v>3879</v>
      </c>
      <c r="H795" s="1" t="s">
        <v>4840</v>
      </c>
      <c r="I795" s="1" t="s">
        <v>7</v>
      </c>
      <c r="J795" s="1" t="s">
        <v>3881</v>
      </c>
      <c r="K795" s="1" t="s">
        <v>3882</v>
      </c>
      <c r="L795" s="1" t="s">
        <v>3881</v>
      </c>
      <c r="M795" s="1" t="s">
        <v>4846</v>
      </c>
      <c r="O795" s="1">
        <v>3</v>
      </c>
      <c r="P795" s="1" t="s">
        <v>2930</v>
      </c>
      <c r="Q795" s="1">
        <v>2004</v>
      </c>
      <c r="R795" s="1" t="s">
        <v>4841</v>
      </c>
      <c r="S795" s="1" t="s">
        <v>27</v>
      </c>
      <c r="T795" s="6">
        <v>1</v>
      </c>
      <c r="U795" s="1">
        <v>89.72</v>
      </c>
      <c r="V795" s="1">
        <v>0.66</v>
      </c>
      <c r="Y795" s="1">
        <v>9.613352E-2</v>
      </c>
      <c r="Z795" s="1">
        <v>5.5368887999999998E-2</v>
      </c>
      <c r="AA795" s="1">
        <v>0.16674308800000001</v>
      </c>
      <c r="AD795" s="1">
        <v>0.50751515151515103</v>
      </c>
      <c r="AF795" s="1">
        <v>0.14949264800000001</v>
      </c>
      <c r="AG795" s="1">
        <v>1.7216944000000001E-2</v>
      </c>
      <c r="AU795" s="1">
        <v>2.6796799999999999E-4</v>
      </c>
      <c r="AV795" s="1">
        <v>1.00488E-4</v>
      </c>
      <c r="AW795" s="1">
        <v>6.0627759999999998E-3</v>
      </c>
      <c r="AY795" s="1">
        <v>2.8806560000000001E-3</v>
      </c>
      <c r="BA795" s="1">
        <v>6.6824519999999998E-2</v>
      </c>
      <c r="BD795" s="1">
        <v>4.957408E-3</v>
      </c>
      <c r="BG795" s="1">
        <v>1.3632872000000001E-2</v>
      </c>
      <c r="BI795" s="1">
        <v>1.33984E-4</v>
      </c>
      <c r="BJ795" s="1">
        <v>1.3063440000000001E-3</v>
      </c>
      <c r="BQ795" s="1">
        <v>2.34472E-4</v>
      </c>
      <c r="BZ795" s="1">
        <v>1.2092056E-2</v>
      </c>
      <c r="CK795" s="1">
        <v>2.2643296E-2</v>
      </c>
      <c r="CM795" s="1">
        <v>1.5039703999999999E-2</v>
      </c>
      <c r="CV795" s="1">
        <v>5.2923680000000004E-3</v>
      </c>
      <c r="DB795" s="1">
        <v>1.6747999999999999E-4</v>
      </c>
      <c r="DN795" s="1">
        <v>8.7759520000000001E-3</v>
      </c>
      <c r="DT795" s="1">
        <v>1.5073199999999999E-3</v>
      </c>
      <c r="ED795" s="1">
        <v>6.3642400000000002E-4</v>
      </c>
      <c r="EH795" s="1">
        <v>1.4503768E-2</v>
      </c>
      <c r="ET795" s="1">
        <v>2.2609799999999999E-2</v>
      </c>
      <c r="EX795" s="1">
        <v>5.5603359999999999E-3</v>
      </c>
      <c r="FB795" s="1">
        <v>7.7040799999999999E-4</v>
      </c>
      <c r="FE795" s="1">
        <v>4.9339608E-2</v>
      </c>
      <c r="FJ795" s="1">
        <v>3.9860240000000003E-3</v>
      </c>
      <c r="FM795" s="1">
        <v>5.9120440000000003E-2</v>
      </c>
    </row>
    <row r="796" spans="1:169" x14ac:dyDescent="0.2">
      <c r="A796" s="1" t="s">
        <v>4848</v>
      </c>
      <c r="B796" s="1" t="s">
        <v>57</v>
      </c>
      <c r="C796" s="1" t="s">
        <v>4839</v>
      </c>
      <c r="D796" s="1" t="s">
        <v>2</v>
      </c>
      <c r="E796" s="1">
        <v>53</v>
      </c>
      <c r="F796" s="1" t="s">
        <v>3879</v>
      </c>
      <c r="H796" s="1" t="s">
        <v>4840</v>
      </c>
      <c r="I796" s="1" t="s">
        <v>7</v>
      </c>
      <c r="J796" s="1" t="s">
        <v>3881</v>
      </c>
      <c r="K796" s="1" t="s">
        <v>3882</v>
      </c>
      <c r="L796" s="1" t="s">
        <v>3881</v>
      </c>
      <c r="M796" s="1" t="s">
        <v>4157</v>
      </c>
      <c r="O796" s="1">
        <v>3</v>
      </c>
      <c r="P796" s="1" t="s">
        <v>2930</v>
      </c>
      <c r="Q796" s="1">
        <v>2004</v>
      </c>
      <c r="R796" s="1" t="s">
        <v>4841</v>
      </c>
      <c r="S796" s="1" t="s">
        <v>27</v>
      </c>
      <c r="T796" s="6">
        <v>1</v>
      </c>
      <c r="U796" s="1">
        <v>88.67</v>
      </c>
      <c r="V796" s="1">
        <v>0.72</v>
      </c>
      <c r="Y796" s="1">
        <v>0.152769408</v>
      </c>
      <c r="Z796" s="1">
        <v>5.0099263999999998E-2</v>
      </c>
      <c r="AA796" s="1">
        <v>0.16991379200000001</v>
      </c>
      <c r="AD796" s="1">
        <v>0.54488888888888898</v>
      </c>
      <c r="AF796" s="1">
        <v>0.147473088</v>
      </c>
      <c r="AG796" s="1">
        <v>2.2440703999999999E-2</v>
      </c>
      <c r="AU796" s="1">
        <v>4.7078400000000002E-4</v>
      </c>
      <c r="AV796" s="1">
        <v>2.3539200000000001E-4</v>
      </c>
      <c r="AW796" s="1">
        <v>9.9649279999999996E-3</v>
      </c>
      <c r="AY796" s="1">
        <v>4.8647680000000002E-3</v>
      </c>
      <c r="BA796" s="1">
        <v>0.10663257600000001</v>
      </c>
      <c r="BD796" s="1">
        <v>6.6694399999999996E-3</v>
      </c>
      <c r="BG796" s="1">
        <v>2.3146880000000002E-2</v>
      </c>
      <c r="BI796" s="1">
        <v>0</v>
      </c>
      <c r="BJ796" s="1">
        <v>7.8463999999999997E-4</v>
      </c>
      <c r="BQ796" s="1">
        <v>1.56928E-4</v>
      </c>
      <c r="BZ796" s="1">
        <v>1.2122688E-2</v>
      </c>
      <c r="CK796" s="1">
        <v>1.9733695999999998E-2</v>
      </c>
      <c r="CM796" s="1">
        <v>1.5732032E-2</v>
      </c>
      <c r="CV796" s="1">
        <v>2.4323840000000001E-3</v>
      </c>
      <c r="DB796" s="1">
        <v>0</v>
      </c>
      <c r="DN796" s="1">
        <v>1.0867264E-2</v>
      </c>
      <c r="DT796" s="1">
        <v>1.2946559999999999E-3</v>
      </c>
      <c r="ED796" s="1">
        <v>9.8079999999999999E-4</v>
      </c>
      <c r="EH796" s="1">
        <v>1.3221184E-2</v>
      </c>
      <c r="ET796" s="1">
        <v>1.2671936E-2</v>
      </c>
      <c r="EX796" s="1">
        <v>8.3564160000000002E-3</v>
      </c>
      <c r="FB796" s="1">
        <v>1.0200319999999999E-3</v>
      </c>
      <c r="FE796" s="1">
        <v>4.1350527999999998E-2</v>
      </c>
      <c r="FJ796" s="1">
        <v>5.8455679999999998E-3</v>
      </c>
      <c r="FM796" s="1">
        <v>7.4383872000000004E-2</v>
      </c>
    </row>
    <row r="797" spans="1:169" x14ac:dyDescent="0.2">
      <c r="A797" s="1" t="s">
        <v>4850</v>
      </c>
      <c r="B797" s="1" t="s">
        <v>57</v>
      </c>
      <c r="C797" s="1" t="s">
        <v>4839</v>
      </c>
      <c r="D797" s="1" t="s">
        <v>2</v>
      </c>
      <c r="E797" s="1">
        <v>53</v>
      </c>
      <c r="F797" s="1" t="s">
        <v>3879</v>
      </c>
      <c r="H797" s="1" t="s">
        <v>4840</v>
      </c>
      <c r="I797" s="1" t="s">
        <v>7</v>
      </c>
      <c r="J797" s="1" t="s">
        <v>3881</v>
      </c>
      <c r="K797" s="1" t="s">
        <v>3882</v>
      </c>
      <c r="L797" s="1" t="s">
        <v>3881</v>
      </c>
      <c r="M797" s="1" t="s">
        <v>2582</v>
      </c>
      <c r="O797" s="1">
        <v>3</v>
      </c>
      <c r="P797" s="1" t="s">
        <v>2930</v>
      </c>
      <c r="Q797" s="1">
        <v>2004</v>
      </c>
      <c r="R797" s="1" t="s">
        <v>4841</v>
      </c>
      <c r="S797" s="1" t="s">
        <v>27</v>
      </c>
      <c r="T797" s="6">
        <v>1</v>
      </c>
      <c r="U797" s="1">
        <v>90.96</v>
      </c>
      <c r="V797" s="1">
        <v>0.44</v>
      </c>
      <c r="Y797" s="1">
        <v>6.4802331000000005E-2</v>
      </c>
      <c r="Z797" s="1">
        <v>2.864171112E-2</v>
      </c>
      <c r="AA797" s="1">
        <v>8.1218921520000001E-2</v>
      </c>
      <c r="AD797" s="1">
        <v>0.41781000000000001</v>
      </c>
      <c r="AF797" s="1">
        <v>7.2045485160000006E-2</v>
      </c>
      <c r="AG797" s="1">
        <v>9.1734363600000004E-3</v>
      </c>
      <c r="AU797" s="1">
        <v>1.4706912000000001E-4</v>
      </c>
      <c r="AV797" s="1">
        <v>9.1918199999999997E-5</v>
      </c>
      <c r="AW797" s="1">
        <v>3.0149169599999999E-3</v>
      </c>
      <c r="AY797" s="1">
        <v>2.1876531600000001E-3</v>
      </c>
      <c r="BA797" s="1">
        <v>4.4194270559999999E-2</v>
      </c>
      <c r="BD797" s="1">
        <v>3.8054134799999999E-3</v>
      </c>
      <c r="BG797" s="1">
        <v>1.099341672E-2</v>
      </c>
      <c r="BI797" s="1">
        <v>0</v>
      </c>
      <c r="BJ797" s="1">
        <v>3.8605644E-4</v>
      </c>
      <c r="BQ797" s="1">
        <v>3.6767280000000001E-5</v>
      </c>
      <c r="BZ797" s="1">
        <v>7.8314306399999995E-3</v>
      </c>
      <c r="CK797" s="1">
        <v>1.051544208E-2</v>
      </c>
      <c r="CM797" s="1">
        <v>8.3461725600000002E-3</v>
      </c>
      <c r="CV797" s="1">
        <v>1.9118985599999999E-3</v>
      </c>
      <c r="DB797" s="1">
        <v>0</v>
      </c>
      <c r="DN797" s="1">
        <v>3.9340989600000001E-3</v>
      </c>
      <c r="DT797" s="1">
        <v>4.4120736000000002E-4</v>
      </c>
      <c r="ED797" s="1">
        <v>2.5737096E-4</v>
      </c>
      <c r="EH797" s="1">
        <v>8.1807197999999998E-3</v>
      </c>
      <c r="ET797" s="1">
        <v>6.2688212399999999E-3</v>
      </c>
      <c r="EX797" s="1">
        <v>3.87894804E-3</v>
      </c>
      <c r="FB797" s="1">
        <v>6.9857831999999996E-4</v>
      </c>
      <c r="FE797" s="1">
        <v>1.7317388879999999E-2</v>
      </c>
      <c r="FJ797" s="1">
        <v>2.7759296399999999E-3</v>
      </c>
      <c r="FM797" s="1">
        <v>3.7502625599999999E-2</v>
      </c>
    </row>
    <row r="798" spans="1:169" x14ac:dyDescent="0.2">
      <c r="A798" s="1" t="s">
        <v>4851</v>
      </c>
      <c r="B798" s="1" t="s">
        <v>57</v>
      </c>
      <c r="C798" s="1" t="s">
        <v>4852</v>
      </c>
      <c r="D798" s="1" t="s">
        <v>2</v>
      </c>
      <c r="E798" s="1">
        <v>55</v>
      </c>
      <c r="F798" s="1" t="s">
        <v>4328</v>
      </c>
      <c r="H798" s="1" t="s">
        <v>4853</v>
      </c>
      <c r="I798" s="1" t="s">
        <v>7</v>
      </c>
      <c r="J798" s="1" t="s">
        <v>4854</v>
      </c>
      <c r="K798" s="1" t="s">
        <v>4331</v>
      </c>
      <c r="L798" s="1" t="s">
        <v>4332</v>
      </c>
      <c r="M798" s="1" t="s">
        <v>4855</v>
      </c>
      <c r="O798" s="1">
        <v>3</v>
      </c>
      <c r="P798" s="1" t="s">
        <v>4856</v>
      </c>
      <c r="Q798" s="1">
        <v>2006</v>
      </c>
      <c r="R798" s="1" t="s">
        <v>4857</v>
      </c>
      <c r="S798" s="1" t="s">
        <v>27</v>
      </c>
      <c r="T798" s="6">
        <v>1</v>
      </c>
      <c r="U798" s="1">
        <v>80.7</v>
      </c>
      <c r="X798" s="1">
        <v>0.48</v>
      </c>
    </row>
    <row r="799" spans="1:169" x14ac:dyDescent="0.2">
      <c r="A799" s="1" t="s">
        <v>4858</v>
      </c>
      <c r="B799" s="1" t="s">
        <v>57</v>
      </c>
      <c r="C799" s="1" t="s">
        <v>4852</v>
      </c>
      <c r="D799" s="1" t="s">
        <v>2</v>
      </c>
      <c r="E799" s="1">
        <v>55</v>
      </c>
      <c r="F799" s="1" t="s">
        <v>4328</v>
      </c>
      <c r="H799" s="1" t="s">
        <v>4853</v>
      </c>
      <c r="I799" s="1" t="s">
        <v>7</v>
      </c>
      <c r="J799" s="1" t="s">
        <v>4854</v>
      </c>
      <c r="K799" s="1" t="s">
        <v>4331</v>
      </c>
      <c r="L799" s="1" t="s">
        <v>4332</v>
      </c>
      <c r="M799" s="1" t="s">
        <v>4859</v>
      </c>
      <c r="O799" s="1">
        <v>3</v>
      </c>
      <c r="P799" s="1" t="s">
        <v>4856</v>
      </c>
      <c r="Q799" s="1">
        <v>2006</v>
      </c>
      <c r="R799" s="1" t="s">
        <v>4857</v>
      </c>
      <c r="S799" s="1" t="s">
        <v>27</v>
      </c>
      <c r="T799" s="6">
        <v>1</v>
      </c>
      <c r="U799" s="1">
        <v>78.2</v>
      </c>
      <c r="X799" s="1">
        <v>0.5</v>
      </c>
    </row>
    <row r="800" spans="1:169" x14ac:dyDescent="0.2">
      <c r="A800" s="1" t="s">
        <v>4860</v>
      </c>
      <c r="B800" s="1" t="s">
        <v>57</v>
      </c>
      <c r="C800" s="1" t="s">
        <v>4852</v>
      </c>
      <c r="D800" s="1" t="s">
        <v>2</v>
      </c>
      <c r="E800" s="1">
        <v>55</v>
      </c>
      <c r="F800" s="1" t="s">
        <v>4328</v>
      </c>
      <c r="H800" s="1" t="s">
        <v>4853</v>
      </c>
      <c r="I800" s="1" t="s">
        <v>7</v>
      </c>
      <c r="J800" s="1" t="s">
        <v>4854</v>
      </c>
      <c r="K800" s="1" t="s">
        <v>4331</v>
      </c>
      <c r="L800" s="1" t="s">
        <v>4332</v>
      </c>
      <c r="M800" s="1" t="s">
        <v>4861</v>
      </c>
      <c r="O800" s="1">
        <v>3</v>
      </c>
      <c r="P800" s="1" t="s">
        <v>4856</v>
      </c>
      <c r="Q800" s="1">
        <v>2006</v>
      </c>
      <c r="R800" s="1" t="s">
        <v>4857</v>
      </c>
      <c r="S800" s="1" t="s">
        <v>27</v>
      </c>
      <c r="T800" s="6">
        <v>1</v>
      </c>
      <c r="U800" s="1">
        <v>72.5</v>
      </c>
      <c r="X800" s="1">
        <v>0.36</v>
      </c>
    </row>
    <row r="801" spans="1:24" x14ac:dyDescent="0.2">
      <c r="A801" s="1" t="s">
        <v>4862</v>
      </c>
      <c r="B801" s="1" t="s">
        <v>57</v>
      </c>
      <c r="C801" s="1" t="s">
        <v>4852</v>
      </c>
      <c r="D801" s="1" t="s">
        <v>2</v>
      </c>
      <c r="E801" s="1">
        <v>55</v>
      </c>
      <c r="F801" s="1" t="s">
        <v>4328</v>
      </c>
      <c r="H801" s="1" t="s">
        <v>4853</v>
      </c>
      <c r="I801" s="1" t="s">
        <v>7</v>
      </c>
      <c r="J801" s="1" t="s">
        <v>4854</v>
      </c>
      <c r="K801" s="1" t="s">
        <v>4331</v>
      </c>
      <c r="L801" s="1" t="s">
        <v>4332</v>
      </c>
      <c r="M801" s="1" t="s">
        <v>4863</v>
      </c>
      <c r="O801" s="1">
        <v>3</v>
      </c>
      <c r="P801" s="1" t="s">
        <v>4856</v>
      </c>
      <c r="Q801" s="1">
        <v>2006</v>
      </c>
      <c r="R801" s="1" t="s">
        <v>4857</v>
      </c>
      <c r="S801" s="1" t="s">
        <v>27</v>
      </c>
      <c r="T801" s="6">
        <v>1</v>
      </c>
      <c r="U801" s="1">
        <v>78</v>
      </c>
      <c r="X801" s="1">
        <v>0.63</v>
      </c>
    </row>
    <row r="802" spans="1:24" x14ac:dyDescent="0.2">
      <c r="A802" s="1" t="s">
        <v>4864</v>
      </c>
      <c r="B802" s="1" t="s">
        <v>55</v>
      </c>
      <c r="C802" s="1" t="s">
        <v>4865</v>
      </c>
      <c r="D802" s="1" t="s">
        <v>2</v>
      </c>
      <c r="E802" s="1">
        <v>13</v>
      </c>
      <c r="F802" s="1" t="s">
        <v>1266</v>
      </c>
      <c r="H802" s="1" t="s">
        <v>4866</v>
      </c>
      <c r="I802" s="1" t="s">
        <v>7</v>
      </c>
      <c r="J802" s="1" t="s">
        <v>1268</v>
      </c>
      <c r="K802" s="1" t="s">
        <v>1269</v>
      </c>
      <c r="L802" s="1" t="s">
        <v>1268</v>
      </c>
      <c r="M802" s="1" t="s">
        <v>4867</v>
      </c>
      <c r="O802" s="1">
        <v>1</v>
      </c>
      <c r="P802" s="1" t="s">
        <v>4868</v>
      </c>
      <c r="Q802" s="1">
        <v>2004</v>
      </c>
      <c r="R802" s="1" t="s">
        <v>4869</v>
      </c>
      <c r="S802" s="1" t="s">
        <v>23</v>
      </c>
      <c r="T802" s="6">
        <v>1</v>
      </c>
      <c r="U802" s="1">
        <v>68.599999999999994</v>
      </c>
      <c r="X802" s="1">
        <v>12.5</v>
      </c>
    </row>
    <row r="803" spans="1:24" x14ac:dyDescent="0.2">
      <c r="A803" s="1" t="s">
        <v>4870</v>
      </c>
      <c r="B803" s="1" t="s">
        <v>55</v>
      </c>
      <c r="C803" s="1" t="s">
        <v>4871</v>
      </c>
      <c r="D803" s="1" t="s">
        <v>2</v>
      </c>
      <c r="E803" s="1">
        <v>13</v>
      </c>
      <c r="F803" s="1" t="s">
        <v>1266</v>
      </c>
      <c r="H803" s="1" t="s">
        <v>4872</v>
      </c>
      <c r="I803" s="1" t="s">
        <v>7</v>
      </c>
      <c r="J803" s="1" t="s">
        <v>1268</v>
      </c>
      <c r="K803" s="1" t="s">
        <v>1269</v>
      </c>
      <c r="L803" s="1" t="s">
        <v>1268</v>
      </c>
      <c r="M803" s="1" t="s">
        <v>4873</v>
      </c>
      <c r="O803" s="1">
        <v>1</v>
      </c>
      <c r="P803" s="1" t="s">
        <v>4868</v>
      </c>
      <c r="Q803" s="1">
        <v>2004</v>
      </c>
      <c r="R803" s="1" t="s">
        <v>4869</v>
      </c>
      <c r="S803" s="1" t="s">
        <v>23</v>
      </c>
      <c r="T803" s="6">
        <v>1</v>
      </c>
      <c r="U803" s="1">
        <v>74.2</v>
      </c>
      <c r="X803" s="1">
        <v>9.3000000000000007</v>
      </c>
    </row>
    <row r="804" spans="1:24" x14ac:dyDescent="0.2">
      <c r="A804" s="1" t="s">
        <v>4874</v>
      </c>
      <c r="B804" s="1" t="s">
        <v>55</v>
      </c>
      <c r="C804" s="1" t="s">
        <v>4871</v>
      </c>
      <c r="D804" s="1" t="s">
        <v>2</v>
      </c>
      <c r="E804" s="1">
        <v>13</v>
      </c>
      <c r="F804" s="1" t="s">
        <v>4875</v>
      </c>
      <c r="H804" s="1" t="s">
        <v>4876</v>
      </c>
      <c r="I804" s="1" t="s">
        <v>7</v>
      </c>
      <c r="J804" s="1" t="s">
        <v>4877</v>
      </c>
      <c r="K804" s="1" t="s">
        <v>4878</v>
      </c>
      <c r="L804" s="1" t="s">
        <v>4879</v>
      </c>
      <c r="O804" s="1">
        <v>1</v>
      </c>
      <c r="P804" s="1" t="s">
        <v>4868</v>
      </c>
      <c r="Q804" s="1">
        <v>2004</v>
      </c>
      <c r="R804" s="1" t="s">
        <v>4869</v>
      </c>
      <c r="S804" s="1" t="s">
        <v>23</v>
      </c>
      <c r="T804" s="6">
        <v>1</v>
      </c>
      <c r="U804" s="1">
        <v>71.7</v>
      </c>
      <c r="X804" s="1">
        <v>11.4</v>
      </c>
    </row>
    <row r="805" spans="1:24" x14ac:dyDescent="0.2">
      <c r="A805" s="1" t="s">
        <v>4880</v>
      </c>
      <c r="B805" s="1" t="s">
        <v>57</v>
      </c>
      <c r="C805" s="1" t="s">
        <v>4881</v>
      </c>
      <c r="E805" s="1">
        <v>56</v>
      </c>
      <c r="H805" s="1" t="s">
        <v>4882</v>
      </c>
      <c r="I805" s="1" t="s">
        <v>7</v>
      </c>
      <c r="J805" s="1" t="s">
        <v>4883</v>
      </c>
      <c r="P805" s="1" t="s">
        <v>4884</v>
      </c>
      <c r="Q805" s="1">
        <v>2001</v>
      </c>
      <c r="R805" s="1" t="s">
        <v>4885</v>
      </c>
      <c r="S805" s="1" t="s">
        <v>23</v>
      </c>
      <c r="T805" s="6">
        <v>1</v>
      </c>
    </row>
    <row r="806" spans="1:24" x14ac:dyDescent="0.2">
      <c r="A806" s="1" t="s">
        <v>4886</v>
      </c>
      <c r="B806" s="1" t="s">
        <v>57</v>
      </c>
      <c r="C806" s="1" t="s">
        <v>4881</v>
      </c>
      <c r="E806" s="1">
        <v>52</v>
      </c>
      <c r="F806" s="1" t="s">
        <v>3762</v>
      </c>
      <c r="H806" s="1" t="s">
        <v>4887</v>
      </c>
      <c r="I806" s="1" t="s">
        <v>7</v>
      </c>
      <c r="J806" s="1" t="s">
        <v>4888</v>
      </c>
      <c r="K806" s="1" t="s">
        <v>3765</v>
      </c>
      <c r="L806" s="1" t="s">
        <v>3766</v>
      </c>
      <c r="P806" s="1" t="s">
        <v>4884</v>
      </c>
      <c r="Q806" s="1">
        <v>2001</v>
      </c>
      <c r="R806" s="1" t="s">
        <v>4885</v>
      </c>
      <c r="S806" s="1" t="s">
        <v>23</v>
      </c>
      <c r="T806" s="6">
        <v>1</v>
      </c>
    </row>
    <row r="807" spans="1:24" x14ac:dyDescent="0.2">
      <c r="A807" s="1" t="s">
        <v>4889</v>
      </c>
      <c r="B807" s="1" t="s">
        <v>57</v>
      </c>
      <c r="C807" s="1" t="s">
        <v>4881</v>
      </c>
      <c r="E807" s="1">
        <v>56</v>
      </c>
      <c r="F807" s="1" t="s">
        <v>3849</v>
      </c>
      <c r="H807" s="1" t="s">
        <v>4890</v>
      </c>
      <c r="I807" s="1" t="s">
        <v>7</v>
      </c>
      <c r="J807" s="1" t="s">
        <v>4891</v>
      </c>
      <c r="K807" s="1" t="s">
        <v>3852</v>
      </c>
      <c r="L807" s="1" t="s">
        <v>4835</v>
      </c>
      <c r="P807" s="1" t="s">
        <v>4884</v>
      </c>
      <c r="Q807" s="1">
        <v>2001</v>
      </c>
      <c r="R807" s="1" t="s">
        <v>4885</v>
      </c>
      <c r="S807" s="1" t="s">
        <v>23</v>
      </c>
      <c r="T807" s="6">
        <v>1</v>
      </c>
    </row>
    <row r="808" spans="1:24" x14ac:dyDescent="0.2">
      <c r="A808" s="1" t="s">
        <v>4892</v>
      </c>
      <c r="B808" s="1" t="s">
        <v>57</v>
      </c>
      <c r="C808" s="1" t="s">
        <v>4881</v>
      </c>
      <c r="E808" s="1">
        <v>56</v>
      </c>
      <c r="F808" s="1" t="s">
        <v>4893</v>
      </c>
      <c r="H808" s="1" t="s">
        <v>4894</v>
      </c>
      <c r="I808" s="1" t="s">
        <v>7</v>
      </c>
      <c r="J808" s="1" t="s">
        <v>4895</v>
      </c>
      <c r="K808" s="1" t="s">
        <v>4896</v>
      </c>
      <c r="L808" s="1" t="s">
        <v>4897</v>
      </c>
      <c r="P808" s="1" t="s">
        <v>4884</v>
      </c>
      <c r="Q808" s="1">
        <v>2001</v>
      </c>
      <c r="R808" s="1" t="s">
        <v>4885</v>
      </c>
      <c r="S808" s="1" t="s">
        <v>23</v>
      </c>
      <c r="T808" s="6">
        <v>1</v>
      </c>
    </row>
    <row r="809" spans="1:24" x14ac:dyDescent="0.2">
      <c r="A809" s="1" t="s">
        <v>4898</v>
      </c>
      <c r="B809" s="1" t="s">
        <v>57</v>
      </c>
      <c r="C809" s="1" t="s">
        <v>4881</v>
      </c>
      <c r="E809" s="1">
        <v>53</v>
      </c>
      <c r="F809" s="1" t="s">
        <v>3879</v>
      </c>
      <c r="H809" s="1" t="s">
        <v>4899</v>
      </c>
      <c r="I809" s="1" t="s">
        <v>7</v>
      </c>
      <c r="J809" s="1" t="s">
        <v>3881</v>
      </c>
      <c r="K809" s="1" t="s">
        <v>3882</v>
      </c>
      <c r="L809" s="1" t="s">
        <v>3881</v>
      </c>
      <c r="P809" s="1" t="s">
        <v>4884</v>
      </c>
      <c r="Q809" s="1">
        <v>2001</v>
      </c>
      <c r="R809" s="1" t="s">
        <v>4885</v>
      </c>
      <c r="S809" s="1" t="s">
        <v>23</v>
      </c>
      <c r="T809" s="6">
        <v>1</v>
      </c>
    </row>
    <row r="810" spans="1:24" x14ac:dyDescent="0.2">
      <c r="A810" s="1" t="s">
        <v>4900</v>
      </c>
      <c r="B810" s="1" t="s">
        <v>57</v>
      </c>
      <c r="C810" s="1" t="s">
        <v>4881</v>
      </c>
      <c r="E810" s="1">
        <v>51</v>
      </c>
      <c r="F810" s="1" t="s">
        <v>4901</v>
      </c>
      <c r="H810" s="1" t="s">
        <v>4902</v>
      </c>
      <c r="I810" s="1" t="s">
        <v>7</v>
      </c>
      <c r="J810" s="1" t="s">
        <v>4903</v>
      </c>
      <c r="K810" s="1" t="s">
        <v>4904</v>
      </c>
      <c r="L810" s="1" t="s">
        <v>4905</v>
      </c>
      <c r="P810" s="1" t="s">
        <v>4884</v>
      </c>
      <c r="Q810" s="1">
        <v>2001</v>
      </c>
      <c r="R810" s="1" t="s">
        <v>4885</v>
      </c>
      <c r="S810" s="1" t="s">
        <v>23</v>
      </c>
      <c r="T810" s="6">
        <v>1</v>
      </c>
    </row>
    <row r="811" spans="1:24" x14ac:dyDescent="0.2">
      <c r="A811" s="1" t="s">
        <v>4906</v>
      </c>
      <c r="B811" s="1" t="s">
        <v>57</v>
      </c>
      <c r="C811" s="1" t="s">
        <v>4881</v>
      </c>
      <c r="E811" s="1">
        <v>56</v>
      </c>
      <c r="F811" s="1" t="s">
        <v>4907</v>
      </c>
      <c r="H811" s="1" t="s">
        <v>4908</v>
      </c>
      <c r="I811" s="1" t="s">
        <v>7</v>
      </c>
      <c r="J811" s="1" t="s">
        <v>4909</v>
      </c>
      <c r="K811" s="1" t="s">
        <v>4910</v>
      </c>
      <c r="L811" s="1" t="s">
        <v>4911</v>
      </c>
      <c r="P811" s="1" t="s">
        <v>4884</v>
      </c>
      <c r="Q811" s="1">
        <v>2001</v>
      </c>
      <c r="R811" s="1" t="s">
        <v>4885</v>
      </c>
      <c r="S811" s="1" t="s">
        <v>23</v>
      </c>
      <c r="T811" s="6">
        <v>1</v>
      </c>
    </row>
    <row r="812" spans="1:24" x14ac:dyDescent="0.2">
      <c r="A812" s="1" t="s">
        <v>4912</v>
      </c>
      <c r="B812" s="1" t="s">
        <v>57</v>
      </c>
      <c r="C812" s="1" t="s">
        <v>4881</v>
      </c>
      <c r="E812" s="1">
        <v>54</v>
      </c>
      <c r="F812" s="1" t="s">
        <v>4913</v>
      </c>
      <c r="H812" s="1" t="s">
        <v>4914</v>
      </c>
      <c r="I812" s="1" t="s">
        <v>7</v>
      </c>
      <c r="J812" s="1" t="s">
        <v>4915</v>
      </c>
      <c r="K812" s="1" t="s">
        <v>4916</v>
      </c>
      <c r="L812" s="1" t="s">
        <v>4917</v>
      </c>
      <c r="P812" s="1" t="s">
        <v>4884</v>
      </c>
      <c r="Q812" s="1">
        <v>2001</v>
      </c>
      <c r="R812" s="1" t="s">
        <v>4885</v>
      </c>
      <c r="S812" s="1" t="s">
        <v>23</v>
      </c>
      <c r="T812" s="6">
        <v>1</v>
      </c>
    </row>
    <row r="813" spans="1:24" x14ac:dyDescent="0.2">
      <c r="A813" s="1" t="s">
        <v>4918</v>
      </c>
      <c r="B813" s="1" t="s">
        <v>57</v>
      </c>
      <c r="C813" s="1" t="s">
        <v>4881</v>
      </c>
      <c r="E813" s="1">
        <v>56</v>
      </c>
      <c r="F813" s="1" t="s">
        <v>4919</v>
      </c>
      <c r="H813" s="1" t="s">
        <v>4920</v>
      </c>
      <c r="I813" s="1" t="s">
        <v>7</v>
      </c>
      <c r="J813" s="1" t="s">
        <v>4921</v>
      </c>
      <c r="K813" s="1" t="s">
        <v>4922</v>
      </c>
      <c r="L813" s="1" t="s">
        <v>4921</v>
      </c>
      <c r="P813" s="1" t="s">
        <v>4884</v>
      </c>
      <c r="Q813" s="1">
        <v>2001</v>
      </c>
      <c r="R813" s="1" t="s">
        <v>4885</v>
      </c>
      <c r="S813" s="1" t="s">
        <v>23</v>
      </c>
      <c r="T813" s="6">
        <v>1</v>
      </c>
    </row>
    <row r="814" spans="1:24" x14ac:dyDescent="0.2">
      <c r="A814" s="1" t="s">
        <v>4923</v>
      </c>
      <c r="B814" s="1" t="s">
        <v>57</v>
      </c>
      <c r="C814" s="1" t="s">
        <v>4881</v>
      </c>
      <c r="E814" s="1">
        <v>52</v>
      </c>
      <c r="F814" s="1" t="s">
        <v>4924</v>
      </c>
      <c r="H814" s="1" t="s">
        <v>4925</v>
      </c>
      <c r="I814" s="1" t="s">
        <v>7</v>
      </c>
      <c r="J814" s="1" t="s">
        <v>4926</v>
      </c>
      <c r="K814" s="1" t="s">
        <v>4927</v>
      </c>
      <c r="L814" s="1" t="s">
        <v>4928</v>
      </c>
      <c r="P814" s="1" t="s">
        <v>4884</v>
      </c>
      <c r="Q814" s="1">
        <v>2001</v>
      </c>
      <c r="R814" s="1" t="s">
        <v>4885</v>
      </c>
      <c r="S814" s="1" t="s">
        <v>23</v>
      </c>
      <c r="T814" s="6">
        <v>1</v>
      </c>
    </row>
    <row r="815" spans="1:24" x14ac:dyDescent="0.2">
      <c r="A815" s="1" t="s">
        <v>4929</v>
      </c>
      <c r="B815" s="1" t="s">
        <v>57</v>
      </c>
      <c r="C815" s="1" t="s">
        <v>4881</v>
      </c>
      <c r="E815" s="1">
        <v>55</v>
      </c>
      <c r="F815" s="1" t="s">
        <v>4930</v>
      </c>
      <c r="H815" s="1" t="s">
        <v>4931</v>
      </c>
      <c r="I815" s="1" t="s">
        <v>7</v>
      </c>
      <c r="J815" s="1" t="s">
        <v>4932</v>
      </c>
      <c r="K815" s="1" t="s">
        <v>4933</v>
      </c>
      <c r="L815" s="1" t="s">
        <v>4934</v>
      </c>
      <c r="P815" s="1" t="s">
        <v>4884</v>
      </c>
      <c r="Q815" s="1">
        <v>2001</v>
      </c>
      <c r="R815" s="1" t="s">
        <v>4885</v>
      </c>
      <c r="S815" s="1" t="s">
        <v>23</v>
      </c>
      <c r="T815" s="6">
        <v>1</v>
      </c>
    </row>
    <row r="816" spans="1:24" x14ac:dyDescent="0.2">
      <c r="A816" s="1" t="s">
        <v>4935</v>
      </c>
      <c r="B816" s="1" t="s">
        <v>57</v>
      </c>
      <c r="C816" s="1" t="s">
        <v>4881</v>
      </c>
      <c r="E816" s="1">
        <v>52</v>
      </c>
      <c r="F816" s="1" t="s">
        <v>4936</v>
      </c>
      <c r="H816" s="1" t="s">
        <v>4937</v>
      </c>
      <c r="I816" s="1" t="s">
        <v>7</v>
      </c>
      <c r="J816" s="1" t="s">
        <v>4938</v>
      </c>
      <c r="K816" s="1" t="s">
        <v>4939</v>
      </c>
      <c r="L816" s="1" t="s">
        <v>4940</v>
      </c>
      <c r="P816" s="1" t="s">
        <v>4884</v>
      </c>
      <c r="Q816" s="1">
        <v>2001</v>
      </c>
      <c r="R816" s="1" t="s">
        <v>4885</v>
      </c>
      <c r="S816" s="1" t="s">
        <v>23</v>
      </c>
      <c r="T816" s="6">
        <v>1</v>
      </c>
    </row>
    <row r="817" spans="1:169" x14ac:dyDescent="0.2">
      <c r="A817" s="1" t="s">
        <v>4941</v>
      </c>
      <c r="B817" s="1" t="s">
        <v>1912</v>
      </c>
      <c r="C817" s="1" t="s">
        <v>4516</v>
      </c>
      <c r="E817" s="1">
        <v>45</v>
      </c>
      <c r="F817" s="1" t="s">
        <v>4942</v>
      </c>
      <c r="H817" s="1" t="s">
        <v>4943</v>
      </c>
      <c r="I817" s="1" t="s">
        <v>7</v>
      </c>
      <c r="J817" s="1" t="s">
        <v>4944</v>
      </c>
      <c r="K817" s="1" t="s">
        <v>4945</v>
      </c>
      <c r="L817" s="1" t="s">
        <v>4944</v>
      </c>
      <c r="P817" s="1" t="s">
        <v>1270</v>
      </c>
      <c r="Q817" s="1">
        <v>2002</v>
      </c>
      <c r="R817" s="1" t="s">
        <v>4946</v>
      </c>
      <c r="S817" s="1" t="s">
        <v>23</v>
      </c>
      <c r="T817" s="6">
        <v>1</v>
      </c>
      <c r="V817" s="1">
        <v>1.1299999999999999</v>
      </c>
      <c r="Y817" s="1">
        <v>0.26559512000000002</v>
      </c>
      <c r="Z817" s="1">
        <v>0.16468511999999999</v>
      </c>
      <c r="AA817" s="1">
        <v>0.32694839999999997</v>
      </c>
      <c r="AD817" s="1">
        <v>0.71440707964601802</v>
      </c>
      <c r="AW817" s="1">
        <v>1.2916479999999999E-2</v>
      </c>
      <c r="AY817" s="1">
        <v>8.0727999999999998E-3</v>
      </c>
      <c r="BA817" s="1">
        <v>0.14692495999999999</v>
      </c>
      <c r="BD817" s="1">
        <v>1.695288E-2</v>
      </c>
      <c r="BG817" s="1">
        <v>8.1535280000000002E-2</v>
      </c>
      <c r="BZ817" s="1">
        <v>5.3280479999999998E-2</v>
      </c>
      <c r="CB817" s="1">
        <v>8.0727999999999998E-3</v>
      </c>
      <c r="CK817" s="1">
        <v>9.8488160000000005E-2</v>
      </c>
      <c r="CV817" s="1">
        <v>4.0363999999999999E-3</v>
      </c>
      <c r="DN817" s="1">
        <v>2.0181999999999999E-2</v>
      </c>
      <c r="DT817" s="1">
        <v>5.65096E-3</v>
      </c>
      <c r="EH817" s="1">
        <v>3.2291199999999998E-3</v>
      </c>
      <c r="EX817" s="1">
        <v>5.4087759999999999E-2</v>
      </c>
      <c r="FE817" s="1">
        <v>0.14369583999999999</v>
      </c>
      <c r="FJ817" s="1">
        <v>1.372376E-2</v>
      </c>
      <c r="FM817" s="1">
        <v>8.6378960000000005E-2</v>
      </c>
    </row>
    <row r="818" spans="1:169" x14ac:dyDescent="0.2">
      <c r="A818" s="1" t="s">
        <v>4947</v>
      </c>
      <c r="B818" s="1" t="s">
        <v>57</v>
      </c>
      <c r="C818" s="1" t="s">
        <v>4948</v>
      </c>
      <c r="E818" s="1">
        <v>52</v>
      </c>
      <c r="F818" s="1" t="s">
        <v>4949</v>
      </c>
      <c r="G818" s="1" t="s">
        <v>4950</v>
      </c>
      <c r="H818" s="1" t="s">
        <v>4951</v>
      </c>
      <c r="I818" s="1" t="s">
        <v>7</v>
      </c>
      <c r="J818" s="1" t="s">
        <v>4952</v>
      </c>
      <c r="K818" s="1" t="s">
        <v>4953</v>
      </c>
      <c r="L818" s="1" t="s">
        <v>4952</v>
      </c>
      <c r="M818" s="1" t="s">
        <v>4954</v>
      </c>
      <c r="Q818" s="1">
        <v>2009</v>
      </c>
      <c r="R818" s="1" t="s">
        <v>4955</v>
      </c>
      <c r="S818" s="1" t="s">
        <v>23</v>
      </c>
      <c r="T818" s="6">
        <v>1</v>
      </c>
      <c r="Y818" s="1">
        <v>0.49199999999999999</v>
      </c>
      <c r="Z818" s="1">
        <v>0.22</v>
      </c>
      <c r="AA818" s="1">
        <v>0.313</v>
      </c>
      <c r="AE818" s="1">
        <v>1.024</v>
      </c>
      <c r="AF818" s="1">
        <v>0.19</v>
      </c>
      <c r="AG818" s="1">
        <v>0.123</v>
      </c>
      <c r="AW818" s="1">
        <v>2.1999999999999999E-2</v>
      </c>
      <c r="AY818" s="1">
        <v>0.01</v>
      </c>
      <c r="BA818" s="1">
        <v>0.25800000000000001</v>
      </c>
      <c r="BD818" s="1">
        <v>0.04</v>
      </c>
      <c r="BG818" s="1">
        <v>0.124</v>
      </c>
      <c r="BI818" s="1">
        <v>4.0000000000000001E-3</v>
      </c>
      <c r="BK818" s="1">
        <v>2E-3</v>
      </c>
      <c r="BM818" s="1">
        <v>3.1E-2</v>
      </c>
      <c r="CA818" s="1">
        <v>3.3000000000000002E-2</v>
      </c>
      <c r="CQ818" s="1">
        <v>4.8000000000000001E-2</v>
      </c>
      <c r="CZ818" s="1">
        <v>0.111</v>
      </c>
      <c r="DD818" s="1">
        <v>3.0000000000000001E-3</v>
      </c>
      <c r="DN818" s="1">
        <v>0.03</v>
      </c>
      <c r="DR818" s="1">
        <v>2.5999999999999999E-2</v>
      </c>
      <c r="DT818" s="1">
        <v>1.0999999999999999E-2</v>
      </c>
      <c r="EH818" s="1">
        <v>8.0000000000000002E-3</v>
      </c>
      <c r="EX818" s="1">
        <v>8.2000000000000003E-2</v>
      </c>
      <c r="FE818" s="1">
        <v>8.3000000000000004E-2</v>
      </c>
      <c r="FM818" s="1">
        <v>9.9000000000000005E-2</v>
      </c>
    </row>
    <row r="819" spans="1:169" x14ac:dyDescent="0.2">
      <c r="A819" s="1" t="s">
        <v>4956</v>
      </c>
      <c r="B819" s="1" t="s">
        <v>57</v>
      </c>
      <c r="C819" s="1" t="s">
        <v>4957</v>
      </c>
      <c r="E819" s="1">
        <v>52</v>
      </c>
      <c r="F819" s="1" t="s">
        <v>4949</v>
      </c>
      <c r="G819" s="1" t="s">
        <v>4950</v>
      </c>
      <c r="H819" s="1" t="s">
        <v>4951</v>
      </c>
      <c r="I819" s="1" t="s">
        <v>7</v>
      </c>
      <c r="J819" s="1" t="s">
        <v>4952</v>
      </c>
      <c r="K819" s="1" t="s">
        <v>4953</v>
      </c>
      <c r="L819" s="1" t="s">
        <v>4952</v>
      </c>
      <c r="M819" s="1" t="s">
        <v>4954</v>
      </c>
      <c r="Q819" s="1">
        <v>2009</v>
      </c>
      <c r="R819" s="1" t="s">
        <v>4955</v>
      </c>
      <c r="S819" s="1" t="s">
        <v>23</v>
      </c>
      <c r="T819" s="6">
        <v>1</v>
      </c>
      <c r="Y819" s="1">
        <v>1.6379999999999999</v>
      </c>
      <c r="Z819" s="1">
        <v>0.72</v>
      </c>
      <c r="AA819" s="1">
        <v>1.01</v>
      </c>
      <c r="AE819" s="1">
        <v>3.3679999999999999</v>
      </c>
      <c r="AF819" s="1">
        <v>0.65</v>
      </c>
      <c r="AG819" s="1">
        <v>0.36099999999999999</v>
      </c>
      <c r="AW819" s="1">
        <v>7.0000000000000007E-2</v>
      </c>
      <c r="AY819" s="1">
        <v>2.9000000000000001E-2</v>
      </c>
      <c r="BA819" s="1">
        <v>0.88300000000000001</v>
      </c>
      <c r="BD819" s="1">
        <v>0.121</v>
      </c>
      <c r="BG819" s="1">
        <v>0.42299999999999999</v>
      </c>
      <c r="BI819" s="1">
        <v>1.2E-2</v>
      </c>
      <c r="BK819" s="1">
        <v>5.0000000000000001E-3</v>
      </c>
      <c r="BM819" s="1">
        <v>9.6000000000000002E-2</v>
      </c>
      <c r="CA819" s="1">
        <v>5.2999999999999999E-2</v>
      </c>
      <c r="CQ819" s="1">
        <v>0.13300000000000001</v>
      </c>
      <c r="CZ819" s="1">
        <v>0.45800000000000002</v>
      </c>
      <c r="DN819" s="1">
        <v>6.7000000000000004E-2</v>
      </c>
      <c r="DR819" s="1">
        <v>7.6999999999999999E-2</v>
      </c>
      <c r="DT819" s="1">
        <v>3.1E-2</v>
      </c>
      <c r="EH819" s="1">
        <v>0.02</v>
      </c>
      <c r="EX819" s="1">
        <v>0.26300000000000001</v>
      </c>
      <c r="FE819" s="1">
        <v>0.29099999999999998</v>
      </c>
      <c r="FM819" s="1">
        <v>0.33900000000000002</v>
      </c>
    </row>
    <row r="820" spans="1:169" x14ac:dyDescent="0.2">
      <c r="A820" s="1" t="s">
        <v>4958</v>
      </c>
      <c r="B820" s="1" t="s">
        <v>57</v>
      </c>
      <c r="C820" s="1" t="s">
        <v>4948</v>
      </c>
      <c r="E820" s="1">
        <v>56</v>
      </c>
      <c r="F820" s="1" t="s">
        <v>4893</v>
      </c>
      <c r="G820" s="1" t="s">
        <v>4959</v>
      </c>
      <c r="H820" s="1" t="s">
        <v>4960</v>
      </c>
      <c r="I820" s="1" t="s">
        <v>7</v>
      </c>
      <c r="J820" s="1" t="s">
        <v>4897</v>
      </c>
      <c r="K820" s="1" t="s">
        <v>4896</v>
      </c>
      <c r="L820" s="1" t="s">
        <v>4897</v>
      </c>
      <c r="M820" s="1" t="s">
        <v>4961</v>
      </c>
      <c r="Q820" s="1">
        <v>2009</v>
      </c>
      <c r="R820" s="1" t="s">
        <v>4955</v>
      </c>
      <c r="S820" s="1" t="s">
        <v>23</v>
      </c>
      <c r="T820" s="6">
        <v>1</v>
      </c>
      <c r="Y820" s="1">
        <v>0.69799999999999995</v>
      </c>
      <c r="Z820" s="1">
        <v>0.35299999999999998</v>
      </c>
      <c r="AA820" s="1">
        <v>0.76400000000000001</v>
      </c>
      <c r="AE820" s="1">
        <v>1.8149999999999999</v>
      </c>
      <c r="AF820" s="1">
        <v>0.66300000000000003</v>
      </c>
      <c r="AG820" s="1">
        <v>0.10199999999999999</v>
      </c>
      <c r="AW820" s="1">
        <v>4.2000000000000003E-2</v>
      </c>
      <c r="AY820" s="1">
        <v>5.0000000000000001E-3</v>
      </c>
      <c r="BA820" s="1">
        <v>0.4</v>
      </c>
      <c r="BD820" s="1">
        <v>4.7E-2</v>
      </c>
      <c r="BG820" s="1">
        <v>0.17899999999999999</v>
      </c>
      <c r="BI820" s="1">
        <v>1.6E-2</v>
      </c>
      <c r="BM820" s="1">
        <v>0.01</v>
      </c>
      <c r="CA820" s="1">
        <v>0.13900000000000001</v>
      </c>
      <c r="CQ820" s="1">
        <v>6.7000000000000004E-2</v>
      </c>
      <c r="CZ820" s="1">
        <v>0.08</v>
      </c>
      <c r="DN820" s="1">
        <v>4.4999999999999998E-2</v>
      </c>
      <c r="DR820" s="1">
        <v>6.7000000000000004E-2</v>
      </c>
      <c r="EH820" s="1">
        <v>1.6E-2</v>
      </c>
      <c r="EX820" s="1">
        <v>5.6000000000000001E-2</v>
      </c>
      <c r="FE820" s="1">
        <v>0.30299999999999999</v>
      </c>
      <c r="FM820" s="1">
        <v>0.34399999999999997</v>
      </c>
    </row>
    <row r="821" spans="1:169" x14ac:dyDescent="0.2">
      <c r="A821" s="1" t="s">
        <v>4962</v>
      </c>
      <c r="B821" s="1" t="s">
        <v>57</v>
      </c>
      <c r="C821" s="1" t="s">
        <v>4957</v>
      </c>
      <c r="E821" s="1">
        <v>56</v>
      </c>
      <c r="F821" s="1" t="s">
        <v>4893</v>
      </c>
      <c r="G821" s="1" t="s">
        <v>4959</v>
      </c>
      <c r="H821" s="1" t="s">
        <v>4960</v>
      </c>
      <c r="I821" s="1" t="s">
        <v>7</v>
      </c>
      <c r="J821" s="1" t="s">
        <v>4897</v>
      </c>
      <c r="K821" s="1" t="s">
        <v>4896</v>
      </c>
      <c r="L821" s="1" t="s">
        <v>4897</v>
      </c>
      <c r="M821" s="1" t="s">
        <v>4961</v>
      </c>
      <c r="Q821" s="1">
        <v>2009</v>
      </c>
      <c r="R821" s="1" t="s">
        <v>4955</v>
      </c>
      <c r="S821" s="1" t="s">
        <v>23</v>
      </c>
      <c r="T821" s="6">
        <v>1</v>
      </c>
      <c r="Y821" s="1">
        <v>0.42199999999999999</v>
      </c>
      <c r="Z821" s="1">
        <v>0.21099999999999999</v>
      </c>
      <c r="AA821" s="1">
        <v>0.48299999999999998</v>
      </c>
      <c r="AE821" s="1">
        <v>1.1160000000000001</v>
      </c>
      <c r="AF821" s="1">
        <v>0.42299999999999999</v>
      </c>
      <c r="AG821" s="1">
        <v>0.06</v>
      </c>
      <c r="AW821" s="1">
        <v>3.2000000000000001E-2</v>
      </c>
      <c r="AY821" s="1">
        <v>3.0000000000000001E-3</v>
      </c>
      <c r="BA821" s="1">
        <v>0.246</v>
      </c>
      <c r="BD821" s="1">
        <v>2.5000000000000001E-2</v>
      </c>
      <c r="BG821" s="1">
        <v>0.108</v>
      </c>
      <c r="BI821" s="1">
        <v>2E-3</v>
      </c>
      <c r="BM821" s="1">
        <v>6.0000000000000001E-3</v>
      </c>
      <c r="CA821" s="1">
        <v>7.4999999999999997E-2</v>
      </c>
      <c r="CQ821" s="1">
        <v>0.04</v>
      </c>
      <c r="CZ821" s="1">
        <v>5.1999999999999998E-2</v>
      </c>
      <c r="DF821" s="1">
        <v>1E-3</v>
      </c>
      <c r="DN821" s="1">
        <v>2.9000000000000001E-2</v>
      </c>
      <c r="DR821" s="1">
        <v>4.2999999999999997E-2</v>
      </c>
      <c r="DT821" s="1">
        <v>1E-3</v>
      </c>
      <c r="ED821" s="1">
        <v>3.0000000000000001E-3</v>
      </c>
      <c r="EH821" s="1">
        <v>8.0000000000000002E-3</v>
      </c>
      <c r="EX821" s="1">
        <v>2.7E-2</v>
      </c>
      <c r="FE821" s="1">
        <v>0.19900000000000001</v>
      </c>
      <c r="FM821" s="1">
        <v>0.216</v>
      </c>
    </row>
    <row r="822" spans="1:169" x14ac:dyDescent="0.2">
      <c r="A822" s="1" t="s">
        <v>4963</v>
      </c>
      <c r="B822" s="1" t="s">
        <v>57</v>
      </c>
      <c r="C822" s="1" t="s">
        <v>4964</v>
      </c>
      <c r="E822" s="1">
        <v>56</v>
      </c>
      <c r="F822" s="1" t="s">
        <v>4965</v>
      </c>
      <c r="G822" s="1" t="s">
        <v>4966</v>
      </c>
      <c r="H822" s="1" t="s">
        <v>4967</v>
      </c>
      <c r="I822" s="1" t="s">
        <v>7</v>
      </c>
      <c r="J822" s="1" t="s">
        <v>4968</v>
      </c>
      <c r="K822" s="1" t="s">
        <v>4969</v>
      </c>
      <c r="L822" s="1" t="s">
        <v>4968</v>
      </c>
      <c r="M822" s="1" t="s">
        <v>4961</v>
      </c>
      <c r="Q822" s="1">
        <v>2009</v>
      </c>
      <c r="R822" s="1" t="s">
        <v>4955</v>
      </c>
      <c r="S822" s="1" t="s">
        <v>23</v>
      </c>
      <c r="T822" s="6">
        <v>1</v>
      </c>
      <c r="Y822" s="1">
        <v>0.71599999999999997</v>
      </c>
      <c r="Z822" s="1">
        <v>0.497</v>
      </c>
      <c r="AA822" s="1">
        <v>0.70099999999999996</v>
      </c>
      <c r="AE822" s="1">
        <v>1.913</v>
      </c>
      <c r="AF822" s="1">
        <v>0.59799999999999998</v>
      </c>
      <c r="AG822" s="1">
        <v>0.10199999999999999</v>
      </c>
      <c r="AW822" s="1">
        <v>4.1000000000000002E-2</v>
      </c>
      <c r="AY822" s="1">
        <v>0.01</v>
      </c>
      <c r="BA822" s="1">
        <v>0.40699999999999997</v>
      </c>
      <c r="BD822" s="1">
        <v>2.5999999999999999E-2</v>
      </c>
      <c r="BG822" s="1">
        <v>0.19700000000000001</v>
      </c>
      <c r="BI822" s="1">
        <v>6.0000000000000001E-3</v>
      </c>
      <c r="BK822" s="1">
        <v>8.9999999999999993E-3</v>
      </c>
      <c r="BM822" s="1">
        <v>0.02</v>
      </c>
      <c r="CA822" s="1">
        <v>0.20799999999999999</v>
      </c>
      <c r="CQ822" s="1">
        <v>8.2000000000000003E-2</v>
      </c>
      <c r="CZ822" s="1">
        <v>8.1000000000000003E-2</v>
      </c>
      <c r="DN822" s="1">
        <v>4.7E-2</v>
      </c>
      <c r="DR822" s="1">
        <v>0.126</v>
      </c>
      <c r="DT822" s="1">
        <v>1.2E-2</v>
      </c>
      <c r="ED822" s="1">
        <v>3.0000000000000001E-3</v>
      </c>
      <c r="EH822" s="1">
        <v>2.7E-2</v>
      </c>
      <c r="EX822" s="1">
        <v>4.1000000000000002E-2</v>
      </c>
      <c r="FE822" s="1">
        <v>0.26600000000000001</v>
      </c>
      <c r="FM822" s="1">
        <v>0.30499999999999999</v>
      </c>
    </row>
    <row r="823" spans="1:169" x14ac:dyDescent="0.2">
      <c r="A823" s="1" t="s">
        <v>4970</v>
      </c>
      <c r="B823" s="1" t="s">
        <v>57</v>
      </c>
      <c r="C823" s="1" t="s">
        <v>4971</v>
      </c>
      <c r="E823" s="1">
        <v>56</v>
      </c>
      <c r="F823" s="1" t="s">
        <v>4965</v>
      </c>
      <c r="G823" s="1" t="s">
        <v>4966</v>
      </c>
      <c r="H823" s="1" t="s">
        <v>4967</v>
      </c>
      <c r="I823" s="1" t="s">
        <v>7</v>
      </c>
      <c r="J823" s="1" t="s">
        <v>4968</v>
      </c>
      <c r="K823" s="1" t="s">
        <v>4969</v>
      </c>
      <c r="L823" s="1" t="s">
        <v>4968</v>
      </c>
      <c r="M823" s="1" t="s">
        <v>4961</v>
      </c>
      <c r="Q823" s="1">
        <v>2009</v>
      </c>
      <c r="R823" s="1" t="s">
        <v>4955</v>
      </c>
      <c r="S823" s="1" t="s">
        <v>23</v>
      </c>
      <c r="T823" s="6">
        <v>1</v>
      </c>
      <c r="Y823" s="1">
        <v>0.90800000000000003</v>
      </c>
      <c r="Z823" s="1">
        <v>0.49399999999999999</v>
      </c>
      <c r="AA823" s="1">
        <v>0.73199999999999998</v>
      </c>
      <c r="AE823" s="1">
        <v>2.1339999999999999</v>
      </c>
      <c r="AF823" s="1">
        <v>0.61499999999999999</v>
      </c>
      <c r="AG823" s="1">
        <v>0.11799999999999999</v>
      </c>
      <c r="AW823" s="1">
        <v>6.9000000000000006E-2</v>
      </c>
      <c r="AY823" s="1">
        <v>1.0999999999999999E-2</v>
      </c>
      <c r="BA823" s="1">
        <v>0.56499999999999995</v>
      </c>
      <c r="BD823" s="1">
        <v>0.03</v>
      </c>
      <c r="BG823" s="1">
        <v>0.20899999999999999</v>
      </c>
      <c r="BI823" s="1">
        <v>7.0000000000000001E-3</v>
      </c>
      <c r="BK823" s="1">
        <v>4.0000000000000001E-3</v>
      </c>
      <c r="BM823" s="1">
        <v>1.2999999999999999E-2</v>
      </c>
      <c r="CA823" s="1">
        <v>0.17699999999999999</v>
      </c>
      <c r="CQ823" s="1">
        <v>0.104</v>
      </c>
      <c r="CZ823" s="1">
        <v>9.6000000000000002E-2</v>
      </c>
      <c r="DN823" s="1">
        <v>3.6999999999999998E-2</v>
      </c>
      <c r="DR823" s="1">
        <v>0.11700000000000001</v>
      </c>
      <c r="DT823" s="1">
        <v>2.9000000000000001E-2</v>
      </c>
      <c r="ED823" s="1">
        <v>1E-3</v>
      </c>
      <c r="EH823" s="1">
        <v>3.1E-2</v>
      </c>
      <c r="EX823" s="1">
        <v>0.05</v>
      </c>
      <c r="FE823" s="1">
        <v>0.24199999999999999</v>
      </c>
      <c r="FM823" s="1">
        <v>0.34200000000000003</v>
      </c>
    </row>
    <row r="824" spans="1:169" x14ac:dyDescent="0.2">
      <c r="A824" s="1" t="s">
        <v>4972</v>
      </c>
      <c r="B824" s="1" t="s">
        <v>57</v>
      </c>
      <c r="C824" s="1" t="s">
        <v>4964</v>
      </c>
      <c r="E824" s="1">
        <v>56</v>
      </c>
      <c r="F824" s="1" t="s">
        <v>4919</v>
      </c>
      <c r="G824" s="1" t="s">
        <v>4973</v>
      </c>
      <c r="H824" s="1" t="s">
        <v>4974</v>
      </c>
      <c r="I824" s="1" t="s">
        <v>7</v>
      </c>
      <c r="J824" s="1" t="s">
        <v>4921</v>
      </c>
      <c r="K824" s="1" t="s">
        <v>4922</v>
      </c>
      <c r="L824" s="1" t="s">
        <v>4921</v>
      </c>
      <c r="M824" s="1" t="s">
        <v>4961</v>
      </c>
      <c r="Q824" s="1">
        <v>2009</v>
      </c>
      <c r="R824" s="1" t="s">
        <v>4955</v>
      </c>
      <c r="S824" s="1" t="s">
        <v>23</v>
      </c>
      <c r="T824" s="6">
        <v>1</v>
      </c>
      <c r="Y824" s="1">
        <v>0.47399999999999998</v>
      </c>
      <c r="Z824" s="1">
        <v>0.21299999999999999</v>
      </c>
      <c r="AA824" s="1">
        <v>0.4</v>
      </c>
      <c r="AE824" s="1">
        <v>1.087</v>
      </c>
      <c r="AF824" s="1">
        <v>0.32900000000000001</v>
      </c>
      <c r="AG824" s="1">
        <v>7.0999999999999994E-2</v>
      </c>
      <c r="AW824" s="1">
        <v>2.1000000000000001E-2</v>
      </c>
      <c r="AY824" s="1">
        <v>4.0000000000000001E-3</v>
      </c>
      <c r="BA824" s="1">
        <v>0.31900000000000001</v>
      </c>
      <c r="BD824" s="1">
        <v>2.3E-2</v>
      </c>
      <c r="BG824" s="1">
        <v>9.4E-2</v>
      </c>
      <c r="BI824" s="1">
        <v>5.0000000000000001E-3</v>
      </c>
      <c r="BM824" s="1">
        <v>8.0000000000000002E-3</v>
      </c>
      <c r="CA824" s="1">
        <v>6.6000000000000003E-2</v>
      </c>
      <c r="CQ824" s="1">
        <v>5.0999999999999997E-2</v>
      </c>
      <c r="CZ824" s="1">
        <v>0.05</v>
      </c>
      <c r="DN824" s="1">
        <v>1.7000000000000001E-2</v>
      </c>
      <c r="DR824" s="1">
        <v>4.4999999999999998E-2</v>
      </c>
      <c r="DT824" s="1">
        <v>0.01</v>
      </c>
      <c r="EH824" s="1">
        <v>6.0000000000000001E-3</v>
      </c>
      <c r="EX824" s="1">
        <v>4.4999999999999998E-2</v>
      </c>
      <c r="FE824" s="1">
        <v>0.112</v>
      </c>
      <c r="FM824" s="1">
        <v>0.21099999999999999</v>
      </c>
    </row>
    <row r="825" spans="1:169" x14ac:dyDescent="0.2">
      <c r="A825" s="1" t="s">
        <v>4975</v>
      </c>
      <c r="B825" s="1" t="s">
        <v>57</v>
      </c>
      <c r="C825" s="1" t="s">
        <v>4971</v>
      </c>
      <c r="E825" s="1">
        <v>56</v>
      </c>
      <c r="F825" s="1" t="s">
        <v>4919</v>
      </c>
      <c r="G825" s="1" t="s">
        <v>4973</v>
      </c>
      <c r="H825" s="1" t="s">
        <v>4974</v>
      </c>
      <c r="I825" s="1" t="s">
        <v>7</v>
      </c>
      <c r="J825" s="1" t="s">
        <v>4921</v>
      </c>
      <c r="K825" s="1" t="s">
        <v>4922</v>
      </c>
      <c r="L825" s="1" t="s">
        <v>4921</v>
      </c>
      <c r="M825" s="1" t="s">
        <v>4961</v>
      </c>
      <c r="Q825" s="1">
        <v>2009</v>
      </c>
      <c r="R825" s="1" t="s">
        <v>4955</v>
      </c>
      <c r="S825" s="1" t="s">
        <v>23</v>
      </c>
      <c r="T825" s="6">
        <v>1</v>
      </c>
      <c r="Y825" s="1">
        <v>1.478</v>
      </c>
      <c r="Z825" s="1">
        <v>0.83799999999999997</v>
      </c>
      <c r="AA825" s="1">
        <v>1.0820000000000001</v>
      </c>
      <c r="AE825" s="1">
        <v>3.3969999999999998</v>
      </c>
      <c r="AF825" s="1">
        <v>0.89800000000000002</v>
      </c>
      <c r="AG825" s="1">
        <v>0.184</v>
      </c>
      <c r="AW825" s="1">
        <v>0.123</v>
      </c>
      <c r="AY825" s="1">
        <v>1.4E-2</v>
      </c>
      <c r="BA825" s="1">
        <v>0.999</v>
      </c>
      <c r="BD825" s="1">
        <v>4.7E-2</v>
      </c>
      <c r="BG825" s="1">
        <v>0.27100000000000002</v>
      </c>
      <c r="BI825" s="1">
        <v>6.0000000000000001E-3</v>
      </c>
      <c r="BM825" s="1">
        <v>1.7000000000000001E-2</v>
      </c>
      <c r="CA825" s="1">
        <v>0.34300000000000003</v>
      </c>
      <c r="CQ825" s="1">
        <v>0.13900000000000001</v>
      </c>
      <c r="CZ825" s="1">
        <v>0.16900000000000001</v>
      </c>
      <c r="DN825" s="1">
        <v>7.3999999999999996E-2</v>
      </c>
      <c r="DR825" s="1">
        <v>0.186</v>
      </c>
      <c r="DT825" s="1">
        <v>3.9E-2</v>
      </c>
      <c r="EH825" s="1">
        <v>2.8000000000000001E-2</v>
      </c>
      <c r="EX825" s="1">
        <v>7.0999999999999994E-2</v>
      </c>
      <c r="FE825" s="1">
        <v>0.33</v>
      </c>
      <c r="FM825" s="1">
        <v>0.54</v>
      </c>
    </row>
    <row r="826" spans="1:169" x14ac:dyDescent="0.2">
      <c r="A826" s="1" t="s">
        <v>4976</v>
      </c>
      <c r="B826" s="1" t="s">
        <v>57</v>
      </c>
      <c r="C826" s="1" t="s">
        <v>4964</v>
      </c>
      <c r="E826" s="1">
        <v>56</v>
      </c>
      <c r="F826" s="1" t="s">
        <v>4907</v>
      </c>
      <c r="G826" s="1" t="s">
        <v>4977</v>
      </c>
      <c r="H826" s="1" t="s">
        <v>4910</v>
      </c>
      <c r="I826" s="1" t="s">
        <v>7</v>
      </c>
      <c r="J826" s="1" t="s">
        <v>4911</v>
      </c>
      <c r="K826" s="1" t="s">
        <v>4911</v>
      </c>
      <c r="L826" s="1" t="s">
        <v>4911</v>
      </c>
      <c r="M826" s="1" t="s">
        <v>4961</v>
      </c>
      <c r="Q826" s="1">
        <v>2009</v>
      </c>
      <c r="R826" s="1" t="s">
        <v>4955</v>
      </c>
      <c r="S826" s="1" t="s">
        <v>23</v>
      </c>
      <c r="T826" s="6">
        <v>1</v>
      </c>
      <c r="Y826" s="1">
        <v>1.1020000000000001</v>
      </c>
      <c r="Z826" s="1">
        <v>0.46800000000000003</v>
      </c>
      <c r="AA826" s="1">
        <v>0.74299999999999999</v>
      </c>
      <c r="AE826" s="1">
        <v>2.3149999999999999</v>
      </c>
      <c r="AF826" s="1">
        <v>0.60099999999999998</v>
      </c>
      <c r="AG826" s="1">
        <v>0.14199999999999999</v>
      </c>
      <c r="AW826" s="1">
        <v>4.1000000000000002E-2</v>
      </c>
      <c r="AY826" s="1">
        <v>1.6E-2</v>
      </c>
      <c r="BA826" s="1">
        <v>0.75700000000000001</v>
      </c>
      <c r="BD826" s="1">
        <v>4.7E-2</v>
      </c>
      <c r="BG826" s="1">
        <v>0.223</v>
      </c>
      <c r="BI826" s="1">
        <v>0.01</v>
      </c>
      <c r="BM826" s="1">
        <v>7.0000000000000001E-3</v>
      </c>
      <c r="CA826" s="1">
        <v>0.128</v>
      </c>
      <c r="CQ826" s="1">
        <v>0.10100000000000001</v>
      </c>
      <c r="CZ826" s="1">
        <v>0.13600000000000001</v>
      </c>
      <c r="DN826" s="1">
        <v>3.2000000000000001E-2</v>
      </c>
      <c r="DR826" s="1">
        <v>0.104</v>
      </c>
      <c r="DT826" s="1">
        <v>4.4999999999999998E-2</v>
      </c>
      <c r="ED826" s="1">
        <v>5.0000000000000001E-3</v>
      </c>
      <c r="EH826" s="1">
        <v>2.5000000000000001E-2</v>
      </c>
      <c r="EX826" s="1">
        <v>5.8999999999999997E-2</v>
      </c>
      <c r="FE826" s="1">
        <v>0.20799999999999999</v>
      </c>
      <c r="FM826" s="1">
        <v>0.36899999999999999</v>
      </c>
    </row>
    <row r="827" spans="1:169" x14ac:dyDescent="0.2">
      <c r="A827" s="1" t="s">
        <v>4978</v>
      </c>
      <c r="B827" s="1" t="s">
        <v>57</v>
      </c>
      <c r="C827" s="1" t="s">
        <v>4971</v>
      </c>
      <c r="E827" s="1">
        <v>56</v>
      </c>
      <c r="F827" s="1" t="s">
        <v>4907</v>
      </c>
      <c r="G827" s="1" t="s">
        <v>4977</v>
      </c>
      <c r="H827" s="1" t="s">
        <v>4910</v>
      </c>
      <c r="I827" s="1" t="s">
        <v>7</v>
      </c>
      <c r="J827" s="1" t="s">
        <v>4911</v>
      </c>
      <c r="L827" s="1" t="s">
        <v>4911</v>
      </c>
      <c r="M827" s="1" t="s">
        <v>4961</v>
      </c>
      <c r="Q827" s="1">
        <v>2009</v>
      </c>
      <c r="R827" s="1" t="s">
        <v>4955</v>
      </c>
      <c r="S827" s="1" t="s">
        <v>23</v>
      </c>
      <c r="T827" s="6">
        <v>1</v>
      </c>
      <c r="Y827" s="1">
        <v>0.504</v>
      </c>
      <c r="Z827" s="1">
        <v>0.219</v>
      </c>
      <c r="AA827" s="1">
        <v>0.34899999999999998</v>
      </c>
      <c r="AE827" s="1">
        <v>1.0720000000000001</v>
      </c>
      <c r="AF827" s="1">
        <v>0.27700000000000002</v>
      </c>
      <c r="AG827" s="1">
        <v>7.1999999999999995E-2</v>
      </c>
      <c r="AW827" s="1">
        <v>0.02</v>
      </c>
      <c r="AY827" s="1">
        <v>5.0000000000000001E-3</v>
      </c>
      <c r="BA827" s="1">
        <v>0.31900000000000001</v>
      </c>
      <c r="BD827" s="1">
        <v>2.1999999999999999E-2</v>
      </c>
      <c r="BG827" s="1">
        <v>0.122</v>
      </c>
      <c r="BI827" s="1">
        <v>5.0000000000000001E-3</v>
      </c>
      <c r="BM827" s="1">
        <v>8.9999999999999993E-3</v>
      </c>
      <c r="CA827" s="1">
        <v>7.6999999999999999E-2</v>
      </c>
      <c r="CQ827" s="1">
        <v>5.6000000000000001E-2</v>
      </c>
      <c r="CZ827" s="1">
        <v>3.3000000000000002E-2</v>
      </c>
      <c r="DN827" s="1">
        <v>3.1E-2</v>
      </c>
      <c r="DR827" s="1">
        <v>5.1999999999999998E-2</v>
      </c>
      <c r="DT827" s="1">
        <v>5.0000000000000001E-3</v>
      </c>
      <c r="EH827" s="1">
        <v>4.0000000000000001E-3</v>
      </c>
      <c r="EX827" s="1">
        <v>3.5999999999999997E-2</v>
      </c>
      <c r="FE827" s="1">
        <v>0.10299999999999999</v>
      </c>
      <c r="FM827" s="1">
        <v>0.17</v>
      </c>
    </row>
    <row r="828" spans="1:169" x14ac:dyDescent="0.2">
      <c r="A828" s="1" t="s">
        <v>4979</v>
      </c>
      <c r="B828" s="1" t="s">
        <v>57</v>
      </c>
      <c r="C828" s="1" t="s">
        <v>4980</v>
      </c>
      <c r="E828" s="1">
        <v>52</v>
      </c>
      <c r="F828" s="1" t="s">
        <v>4981</v>
      </c>
      <c r="H828" s="1" t="s">
        <v>4982</v>
      </c>
      <c r="I828" s="1" t="s">
        <v>7</v>
      </c>
      <c r="J828" s="1" t="s">
        <v>4983</v>
      </c>
      <c r="K828" s="1" t="s">
        <v>4984</v>
      </c>
      <c r="L828" s="1" t="s">
        <v>4983</v>
      </c>
      <c r="N828" s="1" t="s">
        <v>4985</v>
      </c>
      <c r="P828" s="1" t="s">
        <v>4986</v>
      </c>
      <c r="Q828" s="1">
        <v>1992</v>
      </c>
      <c r="R828" s="1" t="s">
        <v>4987</v>
      </c>
      <c r="S828" s="1" t="s">
        <v>23</v>
      </c>
      <c r="T828" s="6">
        <v>1</v>
      </c>
      <c r="U828" s="1">
        <v>71.599999999999994</v>
      </c>
      <c r="X828" s="1">
        <v>0.3</v>
      </c>
    </row>
    <row r="829" spans="1:169" x14ac:dyDescent="0.2">
      <c r="A829" s="1" t="s">
        <v>4988</v>
      </c>
      <c r="B829" s="1" t="s">
        <v>57</v>
      </c>
      <c r="C829" s="1" t="s">
        <v>4989</v>
      </c>
      <c r="E829" s="1">
        <v>52</v>
      </c>
      <c r="F829" s="1" t="s">
        <v>4981</v>
      </c>
      <c r="H829" s="1" t="s">
        <v>4982</v>
      </c>
      <c r="I829" s="1" t="s">
        <v>7</v>
      </c>
      <c r="J829" s="1" t="s">
        <v>4983</v>
      </c>
      <c r="K829" s="1" t="s">
        <v>4984</v>
      </c>
      <c r="L829" s="1" t="s">
        <v>4983</v>
      </c>
      <c r="N829" s="1" t="s">
        <v>4990</v>
      </c>
      <c r="P829" s="1" t="s">
        <v>4986</v>
      </c>
      <c r="Q829" s="1">
        <v>1992</v>
      </c>
      <c r="R829" s="1" t="s">
        <v>4987</v>
      </c>
      <c r="S829" s="1" t="s">
        <v>23</v>
      </c>
      <c r="T829" s="6">
        <v>1</v>
      </c>
      <c r="U829" s="1">
        <v>71.7</v>
      </c>
      <c r="X829" s="1">
        <v>0.3</v>
      </c>
    </row>
    <row r="830" spans="1:169" x14ac:dyDescent="0.2">
      <c r="A830" s="1" t="s">
        <v>4991</v>
      </c>
      <c r="B830" s="1" t="s">
        <v>57</v>
      </c>
      <c r="C830" s="1" t="s">
        <v>4992</v>
      </c>
      <c r="E830" s="1">
        <v>52</v>
      </c>
      <c r="F830" s="1" t="s">
        <v>4981</v>
      </c>
      <c r="H830" s="1" t="s">
        <v>4982</v>
      </c>
      <c r="I830" s="1" t="s">
        <v>7</v>
      </c>
      <c r="J830" s="1" t="s">
        <v>4983</v>
      </c>
      <c r="K830" s="1" t="s">
        <v>4984</v>
      </c>
      <c r="L830" s="1" t="s">
        <v>4983</v>
      </c>
      <c r="N830" s="1" t="s">
        <v>4993</v>
      </c>
      <c r="P830" s="1" t="s">
        <v>4986</v>
      </c>
      <c r="Q830" s="1">
        <v>1992</v>
      </c>
      <c r="R830" s="1" t="s">
        <v>4987</v>
      </c>
      <c r="S830" s="1" t="s">
        <v>23</v>
      </c>
      <c r="T830" s="6">
        <v>1</v>
      </c>
      <c r="U830" s="1">
        <v>72.099999999999994</v>
      </c>
      <c r="X830" s="1">
        <v>0.2</v>
      </c>
    </row>
    <row r="831" spans="1:169" x14ac:dyDescent="0.2">
      <c r="A831" s="1" t="s">
        <v>4994</v>
      </c>
      <c r="B831" s="1" t="s">
        <v>57</v>
      </c>
      <c r="C831" s="1" t="s">
        <v>4995</v>
      </c>
      <c r="E831" s="1">
        <v>56</v>
      </c>
      <c r="F831" s="1" t="s">
        <v>4907</v>
      </c>
      <c r="H831" s="1" t="s">
        <v>4996</v>
      </c>
      <c r="I831" s="1" t="s">
        <v>7</v>
      </c>
      <c r="J831" s="1" t="s">
        <v>4911</v>
      </c>
      <c r="K831" s="1" t="s">
        <v>4910</v>
      </c>
      <c r="L831" s="1" t="s">
        <v>4911</v>
      </c>
      <c r="N831" s="1" t="s">
        <v>4997</v>
      </c>
      <c r="Q831" s="1">
        <v>2006</v>
      </c>
      <c r="R831" s="1" t="s">
        <v>4998</v>
      </c>
      <c r="S831" s="1" t="s">
        <v>23</v>
      </c>
      <c r="T831" s="6">
        <v>1</v>
      </c>
      <c r="U831" s="1">
        <v>83.98</v>
      </c>
      <c r="V831" s="1">
        <v>0.98</v>
      </c>
    </row>
    <row r="832" spans="1:169" x14ac:dyDescent="0.2">
      <c r="A832" s="1" t="s">
        <v>4999</v>
      </c>
      <c r="B832" s="1" t="s">
        <v>57</v>
      </c>
      <c r="C832" s="1" t="s">
        <v>5000</v>
      </c>
      <c r="D832" s="1" t="s">
        <v>2</v>
      </c>
      <c r="E832" s="1">
        <v>56</v>
      </c>
      <c r="F832" s="1" t="s">
        <v>4464</v>
      </c>
      <c r="H832" s="1" t="s">
        <v>5001</v>
      </c>
      <c r="I832" s="1" t="s">
        <v>7</v>
      </c>
      <c r="J832" s="1" t="s">
        <v>4466</v>
      </c>
      <c r="K832" s="1" t="s">
        <v>4467</v>
      </c>
      <c r="L832" s="1" t="s">
        <v>4466</v>
      </c>
      <c r="N832" s="1" t="s">
        <v>5002</v>
      </c>
      <c r="Q832" s="1">
        <v>2006</v>
      </c>
      <c r="R832" s="1" t="s">
        <v>4998</v>
      </c>
      <c r="S832" s="1" t="s">
        <v>23</v>
      </c>
      <c r="T832" s="6">
        <v>1</v>
      </c>
      <c r="U832" s="1">
        <v>85.91</v>
      </c>
      <c r="V832" s="1">
        <v>0.78</v>
      </c>
    </row>
    <row r="833" spans="1:169" x14ac:dyDescent="0.2">
      <c r="A833" s="1" t="s">
        <v>5003</v>
      </c>
      <c r="B833" s="1" t="s">
        <v>57</v>
      </c>
      <c r="C833" s="1" t="s">
        <v>5004</v>
      </c>
      <c r="E833" s="1">
        <v>57</v>
      </c>
      <c r="F833" s="1" t="s">
        <v>1923</v>
      </c>
      <c r="H833" s="1" t="s">
        <v>5005</v>
      </c>
      <c r="I833" s="1" t="s">
        <v>7</v>
      </c>
      <c r="J833" s="1" t="s">
        <v>1925</v>
      </c>
      <c r="K833" s="1" t="s">
        <v>1926</v>
      </c>
      <c r="L833" s="1" t="s">
        <v>1925</v>
      </c>
      <c r="M833" s="1" t="s">
        <v>5006</v>
      </c>
      <c r="Q833" s="1">
        <v>2009</v>
      </c>
      <c r="R833" s="1" t="s">
        <v>5007</v>
      </c>
      <c r="S833" s="1" t="s">
        <v>27</v>
      </c>
      <c r="T833" s="6">
        <v>1</v>
      </c>
    </row>
    <row r="834" spans="1:169" x14ac:dyDescent="0.2">
      <c r="A834" s="1" t="s">
        <v>5008</v>
      </c>
      <c r="B834" s="1" t="s">
        <v>57</v>
      </c>
      <c r="C834" s="1" t="s">
        <v>5004</v>
      </c>
      <c r="E834" s="1">
        <v>57</v>
      </c>
      <c r="F834" s="1" t="s">
        <v>1940</v>
      </c>
      <c r="H834" s="1" t="s">
        <v>5009</v>
      </c>
      <c r="I834" s="1" t="s">
        <v>7</v>
      </c>
      <c r="J834" s="1" t="s">
        <v>1942</v>
      </c>
      <c r="K834" s="1" t="s">
        <v>1943</v>
      </c>
      <c r="L834" s="1" t="s">
        <v>1942</v>
      </c>
      <c r="M834" s="1" t="s">
        <v>5006</v>
      </c>
      <c r="Q834" s="1">
        <v>2009</v>
      </c>
      <c r="R834" s="1" t="s">
        <v>5007</v>
      </c>
      <c r="S834" s="1" t="s">
        <v>27</v>
      </c>
      <c r="T834" s="6">
        <v>1</v>
      </c>
    </row>
    <row r="835" spans="1:169" x14ac:dyDescent="0.2">
      <c r="A835" s="1" t="s">
        <v>5010</v>
      </c>
      <c r="B835" s="1" t="s">
        <v>57</v>
      </c>
      <c r="C835" s="1" t="s">
        <v>5004</v>
      </c>
      <c r="E835" s="1">
        <v>57</v>
      </c>
      <c r="F835" s="1" t="s">
        <v>1902</v>
      </c>
      <c r="H835" s="1" t="s">
        <v>5011</v>
      </c>
      <c r="I835" s="1" t="s">
        <v>7</v>
      </c>
      <c r="J835" s="1" t="s">
        <v>1904</v>
      </c>
      <c r="K835" s="1" t="s">
        <v>1905</v>
      </c>
      <c r="L835" s="1" t="s">
        <v>1904</v>
      </c>
      <c r="M835" s="1" t="s">
        <v>5006</v>
      </c>
      <c r="Q835" s="1">
        <v>2009</v>
      </c>
      <c r="R835" s="1" t="s">
        <v>5007</v>
      </c>
      <c r="S835" s="1" t="s">
        <v>27</v>
      </c>
      <c r="T835" s="6">
        <v>1</v>
      </c>
    </row>
    <row r="836" spans="1:169" x14ac:dyDescent="0.2">
      <c r="A836" s="1" t="s">
        <v>5012</v>
      </c>
      <c r="B836" s="1" t="s">
        <v>55</v>
      </c>
      <c r="C836" s="1" t="s">
        <v>237</v>
      </c>
      <c r="E836" s="1">
        <v>25</v>
      </c>
      <c r="F836" s="1" t="s">
        <v>5013</v>
      </c>
      <c r="H836" s="1" t="s">
        <v>5014</v>
      </c>
      <c r="I836" s="1" t="s">
        <v>7</v>
      </c>
      <c r="J836" s="1" t="s">
        <v>5015</v>
      </c>
      <c r="K836" s="1" t="s">
        <v>5016</v>
      </c>
      <c r="L836" s="1" t="s">
        <v>5015</v>
      </c>
      <c r="P836" s="1" t="s">
        <v>5017</v>
      </c>
      <c r="Q836" s="1">
        <v>2002</v>
      </c>
      <c r="R836" s="1" t="s">
        <v>5018</v>
      </c>
      <c r="S836" s="1" t="s">
        <v>27</v>
      </c>
      <c r="T836" s="6">
        <v>1</v>
      </c>
      <c r="U836" s="1">
        <v>78</v>
      </c>
      <c r="W836" s="1">
        <v>2</v>
      </c>
    </row>
    <row r="837" spans="1:169" x14ac:dyDescent="0.2">
      <c r="A837" s="1" t="s">
        <v>5019</v>
      </c>
      <c r="B837" s="1" t="s">
        <v>55</v>
      </c>
      <c r="C837" s="1" t="s">
        <v>237</v>
      </c>
      <c r="E837" s="1">
        <v>25</v>
      </c>
      <c r="F837" s="1" t="s">
        <v>5013</v>
      </c>
      <c r="H837" s="1" t="s">
        <v>5014</v>
      </c>
      <c r="I837" s="1" t="s">
        <v>7</v>
      </c>
      <c r="J837" s="1" t="s">
        <v>5015</v>
      </c>
      <c r="K837" s="1" t="s">
        <v>5016</v>
      </c>
      <c r="L837" s="1" t="s">
        <v>5015</v>
      </c>
      <c r="P837" s="1" t="s">
        <v>5017</v>
      </c>
      <c r="Q837" s="1">
        <v>2002</v>
      </c>
      <c r="R837" s="1" t="s">
        <v>5018</v>
      </c>
      <c r="S837" s="1" t="s">
        <v>27</v>
      </c>
      <c r="T837" s="6">
        <v>1</v>
      </c>
      <c r="U837" s="1">
        <v>76</v>
      </c>
      <c r="W837" s="1">
        <v>3.3</v>
      </c>
    </row>
    <row r="838" spans="1:169" x14ac:dyDescent="0.2">
      <c r="A838" s="1" t="s">
        <v>5020</v>
      </c>
      <c r="B838" s="1" t="s">
        <v>55</v>
      </c>
      <c r="C838" s="1" t="s">
        <v>237</v>
      </c>
      <c r="E838" s="1">
        <v>32</v>
      </c>
      <c r="F838" s="1" t="s">
        <v>1870</v>
      </c>
      <c r="H838" s="1" t="s">
        <v>5021</v>
      </c>
      <c r="I838" s="1" t="s">
        <v>7</v>
      </c>
      <c r="J838" s="1" t="s">
        <v>5022</v>
      </c>
      <c r="K838" s="1" t="s">
        <v>5023</v>
      </c>
      <c r="L838" s="1" t="s">
        <v>5024</v>
      </c>
      <c r="P838" s="1" t="s">
        <v>5017</v>
      </c>
      <c r="Q838" s="1">
        <v>2002</v>
      </c>
      <c r="R838" s="1" t="s">
        <v>5018</v>
      </c>
      <c r="S838" s="1" t="s">
        <v>27</v>
      </c>
      <c r="T838" s="6">
        <v>1</v>
      </c>
      <c r="U838" s="1">
        <v>77</v>
      </c>
      <c r="AW838" s="1" t="s">
        <v>15</v>
      </c>
      <c r="BA838" s="1">
        <v>0.1</v>
      </c>
      <c r="BG838" s="1" t="s">
        <v>15</v>
      </c>
      <c r="BM838" s="1" t="s">
        <v>15</v>
      </c>
      <c r="BS838" s="1" t="s">
        <v>15</v>
      </c>
      <c r="CA838" s="1" t="s">
        <v>15</v>
      </c>
      <c r="CQ838" s="1">
        <v>0.1</v>
      </c>
      <c r="CZ838" s="1" t="s">
        <v>15</v>
      </c>
      <c r="DF838" s="1" t="s">
        <v>15</v>
      </c>
      <c r="DN838" s="1" t="s">
        <v>15</v>
      </c>
      <c r="DT838" s="1" t="s">
        <v>15</v>
      </c>
      <c r="ED838" s="1" t="s">
        <v>15</v>
      </c>
      <c r="EH838" s="1" t="s">
        <v>15</v>
      </c>
      <c r="EK838" s="1" t="s">
        <v>15</v>
      </c>
      <c r="EL838" s="1" t="s">
        <v>15</v>
      </c>
      <c r="EO838" s="1" t="s">
        <v>15</v>
      </c>
      <c r="EX838" s="1" t="s">
        <v>15</v>
      </c>
      <c r="FA838" s="1" t="s">
        <v>15</v>
      </c>
      <c r="FJ838" s="1">
        <v>0.1</v>
      </c>
      <c r="FM838" s="1">
        <v>0.2</v>
      </c>
    </row>
    <row r="839" spans="1:169" x14ac:dyDescent="0.2">
      <c r="A839" s="1" t="s">
        <v>5025</v>
      </c>
      <c r="B839" s="1" t="s">
        <v>55</v>
      </c>
      <c r="C839" s="1" t="s">
        <v>237</v>
      </c>
      <c r="E839" s="1">
        <v>32</v>
      </c>
      <c r="F839" s="1" t="s">
        <v>1870</v>
      </c>
      <c r="H839" s="1" t="s">
        <v>5026</v>
      </c>
      <c r="I839" s="1" t="s">
        <v>11</v>
      </c>
      <c r="J839" s="1" t="s">
        <v>5022</v>
      </c>
      <c r="K839" s="1" t="s">
        <v>5023</v>
      </c>
      <c r="L839" s="1" t="s">
        <v>5024</v>
      </c>
      <c r="P839" s="1" t="s">
        <v>5017</v>
      </c>
      <c r="Q839" s="1">
        <v>2002</v>
      </c>
      <c r="R839" s="1" t="s">
        <v>5018</v>
      </c>
      <c r="S839" s="1" t="s">
        <v>27</v>
      </c>
      <c r="T839" s="6">
        <v>1</v>
      </c>
      <c r="U839" s="1">
        <v>60</v>
      </c>
    </row>
    <row r="840" spans="1:169" x14ac:dyDescent="0.2">
      <c r="A840" s="1" t="s">
        <v>5027</v>
      </c>
      <c r="B840" s="1" t="s">
        <v>55</v>
      </c>
      <c r="C840" s="1" t="s">
        <v>237</v>
      </c>
      <c r="E840" s="1">
        <v>23</v>
      </c>
      <c r="F840" s="1" t="s">
        <v>5028</v>
      </c>
      <c r="H840" s="1" t="s">
        <v>5029</v>
      </c>
      <c r="I840" s="1" t="s">
        <v>11</v>
      </c>
      <c r="J840" s="1" t="s">
        <v>5030</v>
      </c>
      <c r="K840" s="1" t="s">
        <v>5031</v>
      </c>
      <c r="L840" s="1" t="s">
        <v>5030</v>
      </c>
      <c r="P840" s="1" t="s">
        <v>5017</v>
      </c>
      <c r="Q840" s="1">
        <v>2002</v>
      </c>
      <c r="R840" s="1" t="s">
        <v>5018</v>
      </c>
      <c r="S840" s="1" t="s">
        <v>27</v>
      </c>
      <c r="T840" s="6">
        <v>1</v>
      </c>
      <c r="U840" s="1">
        <v>74</v>
      </c>
      <c r="W840" s="1">
        <v>1.7</v>
      </c>
    </row>
    <row r="841" spans="1:169" x14ac:dyDescent="0.2">
      <c r="A841" s="1" t="s">
        <v>5032</v>
      </c>
      <c r="B841" s="1" t="s">
        <v>55</v>
      </c>
      <c r="C841" s="1" t="s">
        <v>237</v>
      </c>
      <c r="E841" s="1">
        <v>23</v>
      </c>
      <c r="F841" s="1" t="s">
        <v>5028</v>
      </c>
      <c r="H841" s="1" t="s">
        <v>5033</v>
      </c>
      <c r="I841" s="1" t="s">
        <v>7</v>
      </c>
      <c r="J841" s="1" t="s">
        <v>5030</v>
      </c>
      <c r="K841" s="1" t="s">
        <v>5031</v>
      </c>
      <c r="L841" s="1" t="s">
        <v>5030</v>
      </c>
      <c r="P841" s="1" t="s">
        <v>5017</v>
      </c>
      <c r="Q841" s="1">
        <v>2002</v>
      </c>
      <c r="R841" s="1" t="s">
        <v>5018</v>
      </c>
      <c r="S841" s="1" t="s">
        <v>27</v>
      </c>
      <c r="T841" s="6">
        <v>1</v>
      </c>
      <c r="U841" s="1">
        <v>77</v>
      </c>
      <c r="W841" s="1">
        <v>1.9</v>
      </c>
      <c r="AU841" s="1" t="s">
        <v>15</v>
      </c>
      <c r="AW841" s="1" t="s">
        <v>15</v>
      </c>
      <c r="BA841" s="1">
        <v>0.3</v>
      </c>
      <c r="BG841" s="1">
        <v>0.1</v>
      </c>
      <c r="BM841" s="1" t="s">
        <v>15</v>
      </c>
      <c r="CA841" s="1">
        <v>0.1</v>
      </c>
      <c r="CQ841" s="1">
        <v>0.4</v>
      </c>
      <c r="CZ841" s="1" t="s">
        <v>15</v>
      </c>
      <c r="DN841" s="1">
        <v>0.2</v>
      </c>
      <c r="DT841" s="1" t="s">
        <v>15</v>
      </c>
      <c r="ED841" s="1">
        <v>0.1</v>
      </c>
      <c r="EH841" s="1" t="s">
        <v>15</v>
      </c>
      <c r="EX841" s="1" t="s">
        <v>15</v>
      </c>
      <c r="FJ841" s="1">
        <v>0.1</v>
      </c>
      <c r="FM841" s="1">
        <v>0.1</v>
      </c>
    </row>
    <row r="842" spans="1:169" x14ac:dyDescent="0.2">
      <c r="A842" s="1" t="s">
        <v>5034</v>
      </c>
      <c r="B842" s="1" t="s">
        <v>55</v>
      </c>
      <c r="C842" s="1" t="s">
        <v>237</v>
      </c>
      <c r="E842" s="1">
        <v>23</v>
      </c>
      <c r="F842" s="1" t="s">
        <v>5035</v>
      </c>
      <c r="H842" s="1" t="s">
        <v>5036</v>
      </c>
      <c r="I842" s="1" t="s">
        <v>7</v>
      </c>
      <c r="J842" s="1" t="s">
        <v>5037</v>
      </c>
      <c r="K842" s="1" t="s">
        <v>5038</v>
      </c>
      <c r="L842" s="1" t="s">
        <v>5039</v>
      </c>
      <c r="P842" s="1" t="s">
        <v>5017</v>
      </c>
      <c r="Q842" s="1">
        <v>2002</v>
      </c>
      <c r="R842" s="1" t="s">
        <v>5018</v>
      </c>
      <c r="S842" s="1" t="s">
        <v>27</v>
      </c>
      <c r="T842" s="6">
        <v>1</v>
      </c>
      <c r="U842" s="1" t="s">
        <v>5041</v>
      </c>
      <c r="W842" s="1" t="s">
        <v>4165</v>
      </c>
      <c r="AU842" s="1" t="s">
        <v>15</v>
      </c>
      <c r="AW842" s="1">
        <v>0.4</v>
      </c>
      <c r="BA842" s="1">
        <v>1.5</v>
      </c>
      <c r="BG842" s="1">
        <v>0.4</v>
      </c>
      <c r="BS842" s="1" t="s">
        <v>15</v>
      </c>
      <c r="CA842" s="1">
        <v>1.3</v>
      </c>
      <c r="CQ842" s="1">
        <v>3.8</v>
      </c>
      <c r="CZ842" s="1">
        <v>0.2</v>
      </c>
      <c r="DD842" s="1" t="s">
        <v>15</v>
      </c>
      <c r="DN842" s="1">
        <v>0.1</v>
      </c>
      <c r="DT842" s="1" t="s">
        <v>15</v>
      </c>
      <c r="ED842" s="1" t="s">
        <v>15</v>
      </c>
      <c r="EH842" s="1" t="s">
        <v>15</v>
      </c>
      <c r="EK842" s="1" t="s">
        <v>15</v>
      </c>
      <c r="EL842" s="1" t="s">
        <v>15</v>
      </c>
      <c r="EX842" s="1">
        <v>0.1</v>
      </c>
      <c r="FJ842" s="1">
        <v>1.1000000000000001</v>
      </c>
      <c r="FM842" s="1">
        <v>1.3</v>
      </c>
    </row>
    <row r="843" spans="1:169" x14ac:dyDescent="0.2">
      <c r="A843" s="1" t="s">
        <v>5043</v>
      </c>
      <c r="B843" s="1" t="s">
        <v>55</v>
      </c>
      <c r="C843" s="1" t="s">
        <v>237</v>
      </c>
      <c r="E843" s="1">
        <v>23</v>
      </c>
      <c r="F843" s="1" t="s">
        <v>5035</v>
      </c>
      <c r="H843" s="1" t="s">
        <v>5044</v>
      </c>
      <c r="I843" s="1" t="s">
        <v>11</v>
      </c>
      <c r="J843" s="1" t="s">
        <v>5037</v>
      </c>
      <c r="K843" s="1" t="s">
        <v>5038</v>
      </c>
      <c r="L843" s="1" t="s">
        <v>5039</v>
      </c>
      <c r="P843" s="1" t="s">
        <v>5017</v>
      </c>
      <c r="Q843" s="1">
        <v>2002</v>
      </c>
      <c r="R843" s="1" t="s">
        <v>5018</v>
      </c>
      <c r="S843" s="1" t="s">
        <v>27</v>
      </c>
      <c r="T843" s="6">
        <v>1</v>
      </c>
      <c r="U843" s="1">
        <v>70</v>
      </c>
      <c r="W843" s="1">
        <v>6</v>
      </c>
      <c r="AU843" s="1" t="s">
        <v>15</v>
      </c>
      <c r="AW843" s="1">
        <v>0.2</v>
      </c>
      <c r="BA843" s="1">
        <v>0.6</v>
      </c>
      <c r="BG843" s="1">
        <v>0.2</v>
      </c>
      <c r="BI843" s="1" t="s">
        <v>15</v>
      </c>
      <c r="BK843" s="1" t="s">
        <v>15</v>
      </c>
      <c r="BM843" s="1" t="s">
        <v>15</v>
      </c>
      <c r="BS843" s="1" t="s">
        <v>15</v>
      </c>
      <c r="CA843" s="1">
        <v>0.3</v>
      </c>
      <c r="CQ843" s="1">
        <v>1.4</v>
      </c>
      <c r="CZ843" s="1">
        <v>0.6</v>
      </c>
      <c r="DD843" s="1">
        <v>0.1</v>
      </c>
      <c r="DF843" s="1" t="s">
        <v>15</v>
      </c>
      <c r="DN843" s="1">
        <v>0.2</v>
      </c>
      <c r="DT843" s="1" t="s">
        <v>15</v>
      </c>
      <c r="DW843" s="1" t="s">
        <v>15</v>
      </c>
      <c r="ED843" s="1">
        <v>0.1</v>
      </c>
      <c r="EH843" s="1" t="s">
        <v>15</v>
      </c>
      <c r="EK843" s="1" t="s">
        <v>15</v>
      </c>
      <c r="EL843" s="1" t="s">
        <v>15</v>
      </c>
      <c r="EO843" s="1" t="s">
        <v>15</v>
      </c>
      <c r="EX843" s="1" t="s">
        <v>15</v>
      </c>
      <c r="FA843" s="1" t="s">
        <v>15</v>
      </c>
      <c r="FJ843" s="1">
        <v>0.5</v>
      </c>
      <c r="FM843" s="1">
        <v>0.8</v>
      </c>
    </row>
    <row r="844" spans="1:169" x14ac:dyDescent="0.2">
      <c r="A844" s="1" t="s">
        <v>5045</v>
      </c>
      <c r="B844" s="1" t="s">
        <v>55</v>
      </c>
      <c r="C844" s="1" t="s">
        <v>237</v>
      </c>
      <c r="E844" s="1">
        <v>23</v>
      </c>
      <c r="F844" s="1" t="s">
        <v>5035</v>
      </c>
      <c r="H844" s="1" t="s">
        <v>5046</v>
      </c>
      <c r="I844" s="1" t="s">
        <v>7</v>
      </c>
      <c r="J844" s="1" t="s">
        <v>5037</v>
      </c>
      <c r="K844" s="1" t="s">
        <v>5038</v>
      </c>
      <c r="L844" s="1" t="s">
        <v>5039</v>
      </c>
      <c r="P844" s="1" t="s">
        <v>5017</v>
      </c>
      <c r="Q844" s="1">
        <v>2002</v>
      </c>
      <c r="R844" s="1" t="s">
        <v>5018</v>
      </c>
      <c r="S844" s="1" t="s">
        <v>27</v>
      </c>
      <c r="T844" s="6">
        <v>1</v>
      </c>
      <c r="U844" s="1">
        <v>75</v>
      </c>
      <c r="W844" s="1">
        <v>5</v>
      </c>
      <c r="AU844" s="1" t="s">
        <v>15</v>
      </c>
      <c r="AW844" s="1">
        <v>0.1</v>
      </c>
      <c r="BA844" s="1">
        <v>0.3</v>
      </c>
      <c r="BG844" s="1">
        <v>0.1</v>
      </c>
      <c r="BI844" s="1" t="s">
        <v>15</v>
      </c>
      <c r="BK844" s="1" t="s">
        <v>15</v>
      </c>
      <c r="BM844" s="1" t="s">
        <v>15</v>
      </c>
      <c r="BS844" s="1" t="s">
        <v>15</v>
      </c>
      <c r="CA844" s="1">
        <v>0.1</v>
      </c>
      <c r="CQ844" s="1">
        <v>0.7</v>
      </c>
      <c r="CZ844" s="1">
        <v>0.3</v>
      </c>
      <c r="DD844" s="1" t="s">
        <v>15</v>
      </c>
      <c r="DF844" s="1" t="s">
        <v>15</v>
      </c>
      <c r="DN844" s="1" t="s">
        <v>15</v>
      </c>
      <c r="DT844" s="1" t="s">
        <v>15</v>
      </c>
      <c r="DW844" s="1" t="s">
        <v>15</v>
      </c>
      <c r="ED844" s="1" t="s">
        <v>15</v>
      </c>
      <c r="EH844" s="1" t="s">
        <v>15</v>
      </c>
      <c r="EK844" s="1" t="s">
        <v>15</v>
      </c>
      <c r="EL844" s="1" t="s">
        <v>15</v>
      </c>
      <c r="EO844" s="1" t="s">
        <v>15</v>
      </c>
      <c r="EX844" s="1" t="s">
        <v>15</v>
      </c>
      <c r="FA844" s="1" t="s">
        <v>15</v>
      </c>
      <c r="FJ844" s="1">
        <v>0.2</v>
      </c>
      <c r="FM844" s="1">
        <v>0.3</v>
      </c>
    </row>
    <row r="845" spans="1:169" x14ac:dyDescent="0.2">
      <c r="A845" s="1" t="s">
        <v>5047</v>
      </c>
      <c r="B845" s="1" t="s">
        <v>55</v>
      </c>
      <c r="C845" s="1" t="s">
        <v>237</v>
      </c>
      <c r="E845" s="1">
        <v>23</v>
      </c>
      <c r="F845" s="1" t="s">
        <v>5035</v>
      </c>
      <c r="H845" s="1" t="s">
        <v>5048</v>
      </c>
      <c r="I845" s="1" t="s">
        <v>11</v>
      </c>
      <c r="J845" s="1" t="s">
        <v>5037</v>
      </c>
      <c r="K845" s="1" t="s">
        <v>5038</v>
      </c>
      <c r="L845" s="1" t="s">
        <v>5039</v>
      </c>
      <c r="P845" s="1" t="s">
        <v>5017</v>
      </c>
      <c r="Q845" s="1">
        <v>2002</v>
      </c>
      <c r="R845" s="1" t="s">
        <v>5018</v>
      </c>
      <c r="S845" s="1" t="s">
        <v>27</v>
      </c>
      <c r="T845" s="6">
        <v>1</v>
      </c>
      <c r="U845" s="1">
        <v>46</v>
      </c>
      <c r="W845" s="1">
        <v>8</v>
      </c>
      <c r="AU845" s="1" t="s">
        <v>15</v>
      </c>
      <c r="AW845" s="1">
        <v>0.3</v>
      </c>
      <c r="BA845" s="1">
        <v>1.2</v>
      </c>
      <c r="BG845" s="1">
        <v>0.3</v>
      </c>
      <c r="BI845" s="1" t="s">
        <v>15</v>
      </c>
      <c r="BK845" s="1" t="s">
        <v>13</v>
      </c>
      <c r="BM845" s="1" t="s">
        <v>15</v>
      </c>
      <c r="BS845" s="1" t="s">
        <v>15</v>
      </c>
      <c r="CA845" s="1">
        <v>0.5</v>
      </c>
      <c r="CQ845" s="1">
        <v>2.2000000000000002</v>
      </c>
      <c r="CZ845" s="1">
        <v>1.3</v>
      </c>
      <c r="DD845" s="1">
        <v>0.1</v>
      </c>
      <c r="DF845" s="1">
        <v>0.1</v>
      </c>
      <c r="DN845" s="1">
        <v>0.1</v>
      </c>
      <c r="DT845" s="1" t="s">
        <v>15</v>
      </c>
      <c r="DW845" s="1" t="s">
        <v>15</v>
      </c>
      <c r="ED845" s="1" t="s">
        <v>15</v>
      </c>
      <c r="EH845" s="1" t="s">
        <v>15</v>
      </c>
      <c r="EK845" s="1" t="s">
        <v>15</v>
      </c>
      <c r="EL845" s="1" t="s">
        <v>15</v>
      </c>
      <c r="EX845" s="1">
        <v>0.1</v>
      </c>
      <c r="FA845" s="1" t="s">
        <v>15</v>
      </c>
      <c r="FJ845" s="1">
        <v>0.5</v>
      </c>
      <c r="FM845" s="1">
        <v>1</v>
      </c>
    </row>
    <row r="846" spans="1:169" x14ac:dyDescent="0.2">
      <c r="A846" s="1" t="s">
        <v>5049</v>
      </c>
      <c r="B846" s="1" t="s">
        <v>55</v>
      </c>
      <c r="C846" s="1" t="s">
        <v>237</v>
      </c>
      <c r="E846" s="1">
        <v>23</v>
      </c>
      <c r="F846" s="1" t="s">
        <v>5035</v>
      </c>
      <c r="H846" s="1" t="s">
        <v>5050</v>
      </c>
      <c r="I846" s="1" t="s">
        <v>11</v>
      </c>
      <c r="J846" s="1" t="s">
        <v>5051</v>
      </c>
      <c r="K846" s="1" t="s">
        <v>5038</v>
      </c>
      <c r="L846" s="1" t="s">
        <v>5039</v>
      </c>
      <c r="P846" s="1" t="s">
        <v>5017</v>
      </c>
      <c r="Q846" s="1">
        <v>2002</v>
      </c>
      <c r="R846" s="1" t="s">
        <v>5018</v>
      </c>
      <c r="S846" s="1" t="s">
        <v>27</v>
      </c>
      <c r="T846" s="6">
        <v>1</v>
      </c>
      <c r="U846" s="1">
        <v>69</v>
      </c>
      <c r="W846" s="1">
        <v>7</v>
      </c>
    </row>
    <row r="847" spans="1:169" x14ac:dyDescent="0.2">
      <c r="A847" s="1" t="s">
        <v>5052</v>
      </c>
      <c r="B847" s="1" t="s">
        <v>55</v>
      </c>
      <c r="C847" s="1" t="s">
        <v>237</v>
      </c>
      <c r="E847" s="1">
        <v>23</v>
      </c>
      <c r="F847" s="1" t="s">
        <v>5035</v>
      </c>
      <c r="H847" s="1" t="s">
        <v>5050</v>
      </c>
      <c r="I847" s="1" t="s">
        <v>11</v>
      </c>
      <c r="J847" s="1" t="s">
        <v>5051</v>
      </c>
      <c r="K847" s="1" t="s">
        <v>5038</v>
      </c>
      <c r="L847" s="1" t="s">
        <v>5039</v>
      </c>
      <c r="P847" s="1" t="s">
        <v>5017</v>
      </c>
      <c r="Q847" s="1">
        <v>2002</v>
      </c>
      <c r="R847" s="1" t="s">
        <v>5018</v>
      </c>
      <c r="S847" s="1" t="s">
        <v>27</v>
      </c>
      <c r="T847" s="6">
        <v>1</v>
      </c>
      <c r="U847" s="1">
        <v>72</v>
      </c>
      <c r="W847" s="1">
        <v>4.2</v>
      </c>
    </row>
    <row r="848" spans="1:169" x14ac:dyDescent="0.2">
      <c r="A848" s="1" t="s">
        <v>5053</v>
      </c>
      <c r="B848" s="1" t="s">
        <v>55</v>
      </c>
      <c r="C848" s="1" t="s">
        <v>237</v>
      </c>
      <c r="E848" s="1">
        <v>23</v>
      </c>
      <c r="F848" s="1" t="s">
        <v>5035</v>
      </c>
      <c r="H848" s="1" t="s">
        <v>5054</v>
      </c>
      <c r="I848" s="1" t="s">
        <v>7</v>
      </c>
      <c r="J848" s="1" t="s">
        <v>5051</v>
      </c>
      <c r="K848" s="1" t="s">
        <v>5038</v>
      </c>
      <c r="L848" s="1" t="s">
        <v>5039</v>
      </c>
      <c r="P848" s="1" t="s">
        <v>5017</v>
      </c>
      <c r="Q848" s="1">
        <v>2002</v>
      </c>
      <c r="R848" s="1" t="s">
        <v>5018</v>
      </c>
      <c r="S848" s="1" t="s">
        <v>27</v>
      </c>
      <c r="T848" s="6">
        <v>1</v>
      </c>
      <c r="U848" s="1">
        <v>75</v>
      </c>
      <c r="W848" s="1">
        <v>3</v>
      </c>
      <c r="AS848" s="1" t="s">
        <v>15</v>
      </c>
      <c r="AU848" s="1" t="s">
        <v>15</v>
      </c>
      <c r="AW848" s="1">
        <v>0.2</v>
      </c>
      <c r="BA848" s="1">
        <v>0.6</v>
      </c>
      <c r="BG848" s="1">
        <v>0.1</v>
      </c>
      <c r="BI848" s="1" t="s">
        <v>15</v>
      </c>
      <c r="BK848" s="1" t="s">
        <v>15</v>
      </c>
      <c r="BM848" s="1" t="s">
        <v>15</v>
      </c>
      <c r="BS848" s="1" t="s">
        <v>15</v>
      </c>
      <c r="CA848" s="1">
        <v>0.3</v>
      </c>
      <c r="CQ848" s="1">
        <v>0.9</v>
      </c>
      <c r="CZ848" s="1" t="s">
        <v>15</v>
      </c>
      <c r="DD848" s="1" t="s">
        <v>15</v>
      </c>
      <c r="DN848" s="1">
        <v>0.1</v>
      </c>
      <c r="DT848" s="1" t="s">
        <v>15</v>
      </c>
      <c r="DW848" s="1" t="s">
        <v>15</v>
      </c>
      <c r="ED848" s="1">
        <v>0.1</v>
      </c>
      <c r="EH848" s="1" t="s">
        <v>15</v>
      </c>
      <c r="EK848" s="1" t="s">
        <v>15</v>
      </c>
      <c r="EL848" s="1" t="s">
        <v>15</v>
      </c>
      <c r="EO848" s="1" t="s">
        <v>15</v>
      </c>
      <c r="EX848" s="1">
        <v>0.1</v>
      </c>
      <c r="FA848" s="1" t="s">
        <v>15</v>
      </c>
      <c r="FJ848" s="1">
        <v>0.2</v>
      </c>
      <c r="FM848" s="1">
        <v>0.6</v>
      </c>
    </row>
    <row r="849" spans="1:169" x14ac:dyDescent="0.2">
      <c r="A849" s="1" t="s">
        <v>5055</v>
      </c>
      <c r="B849" s="1" t="s">
        <v>55</v>
      </c>
      <c r="C849" s="1" t="s">
        <v>237</v>
      </c>
      <c r="E849" s="1">
        <v>23</v>
      </c>
      <c r="F849" s="1" t="s">
        <v>5035</v>
      </c>
      <c r="H849" s="1" t="s">
        <v>5054</v>
      </c>
      <c r="I849" s="1" t="s">
        <v>7</v>
      </c>
      <c r="J849" s="1" t="s">
        <v>5051</v>
      </c>
      <c r="K849" s="1" t="s">
        <v>5038</v>
      </c>
      <c r="L849" s="1" t="s">
        <v>5039</v>
      </c>
      <c r="P849" s="1" t="s">
        <v>5017</v>
      </c>
      <c r="Q849" s="1">
        <v>2002</v>
      </c>
      <c r="R849" s="1" t="s">
        <v>5018</v>
      </c>
      <c r="S849" s="1" t="s">
        <v>27</v>
      </c>
      <c r="T849" s="6">
        <v>1</v>
      </c>
      <c r="U849" s="1">
        <v>75</v>
      </c>
      <c r="W849" s="1">
        <v>3.9</v>
      </c>
    </row>
    <row r="850" spans="1:169" x14ac:dyDescent="0.2">
      <c r="A850" s="1" t="s">
        <v>5056</v>
      </c>
      <c r="B850" s="1" t="s">
        <v>55</v>
      </c>
      <c r="C850" s="1" t="s">
        <v>237</v>
      </c>
      <c r="E850" s="1">
        <v>23</v>
      </c>
      <c r="F850" s="1" t="s">
        <v>5035</v>
      </c>
      <c r="H850" s="1" t="s">
        <v>5057</v>
      </c>
      <c r="I850" s="1" t="s">
        <v>11</v>
      </c>
      <c r="J850" s="1" t="s">
        <v>5051</v>
      </c>
      <c r="K850" s="1" t="s">
        <v>5038</v>
      </c>
      <c r="L850" s="1" t="s">
        <v>5039</v>
      </c>
      <c r="P850" s="1" t="s">
        <v>5017</v>
      </c>
      <c r="Q850" s="1">
        <v>2002</v>
      </c>
      <c r="R850" s="1" t="s">
        <v>5018</v>
      </c>
      <c r="S850" s="1" t="s">
        <v>27</v>
      </c>
      <c r="T850" s="6">
        <v>1</v>
      </c>
      <c r="U850" s="1">
        <v>77</v>
      </c>
      <c r="W850" s="1">
        <v>1.7</v>
      </c>
    </row>
    <row r="851" spans="1:169" x14ac:dyDescent="0.2">
      <c r="A851" s="1" t="s">
        <v>5058</v>
      </c>
      <c r="B851" s="1" t="s">
        <v>55</v>
      </c>
      <c r="C851" s="1" t="s">
        <v>237</v>
      </c>
      <c r="E851" s="1">
        <v>23</v>
      </c>
      <c r="F851" s="1" t="s">
        <v>5059</v>
      </c>
      <c r="H851" s="1" t="s">
        <v>5060</v>
      </c>
      <c r="I851" s="1" t="s">
        <v>11</v>
      </c>
      <c r="J851" s="1" t="s">
        <v>5061</v>
      </c>
      <c r="K851" s="1" t="s">
        <v>5062</v>
      </c>
      <c r="L851" s="1" t="s">
        <v>5063</v>
      </c>
      <c r="P851" s="1" t="s">
        <v>5017</v>
      </c>
      <c r="Q851" s="1">
        <v>2002</v>
      </c>
      <c r="R851" s="1" t="s">
        <v>5018</v>
      </c>
      <c r="S851" s="1" t="s">
        <v>27</v>
      </c>
      <c r="T851" s="6">
        <v>1</v>
      </c>
      <c r="U851" s="1">
        <v>69</v>
      </c>
      <c r="W851" s="1">
        <v>6</v>
      </c>
    </row>
    <row r="852" spans="1:169" x14ac:dyDescent="0.2">
      <c r="A852" s="1" t="s">
        <v>5072</v>
      </c>
      <c r="B852" s="1" t="s">
        <v>55</v>
      </c>
      <c r="C852" s="1" t="s">
        <v>237</v>
      </c>
      <c r="E852" s="1">
        <v>23</v>
      </c>
      <c r="F852" s="1" t="s">
        <v>5059</v>
      </c>
      <c r="H852" s="1" t="s">
        <v>5060</v>
      </c>
      <c r="I852" s="1" t="s">
        <v>11</v>
      </c>
      <c r="J852" s="1" t="s">
        <v>5061</v>
      </c>
      <c r="K852" s="1" t="s">
        <v>5062</v>
      </c>
      <c r="L852" s="1" t="s">
        <v>5063</v>
      </c>
      <c r="P852" s="1" t="s">
        <v>5017</v>
      </c>
      <c r="Q852" s="1">
        <v>2002</v>
      </c>
      <c r="R852" s="1" t="s">
        <v>5018</v>
      </c>
      <c r="S852" s="1" t="s">
        <v>27</v>
      </c>
      <c r="T852" s="6">
        <v>1</v>
      </c>
      <c r="U852" s="1">
        <v>75</v>
      </c>
      <c r="W852" s="1">
        <v>2.6</v>
      </c>
    </row>
    <row r="853" spans="1:169" x14ac:dyDescent="0.2">
      <c r="A853" s="1" t="s">
        <v>5073</v>
      </c>
      <c r="B853" s="1" t="s">
        <v>55</v>
      </c>
      <c r="C853" s="1" t="s">
        <v>237</v>
      </c>
      <c r="E853" s="1">
        <v>23</v>
      </c>
      <c r="F853" s="1" t="s">
        <v>5059</v>
      </c>
      <c r="H853" s="1" t="s">
        <v>5074</v>
      </c>
      <c r="I853" s="1" t="s">
        <v>7</v>
      </c>
      <c r="J853" s="1" t="s">
        <v>5061</v>
      </c>
      <c r="K853" s="1" t="s">
        <v>5062</v>
      </c>
      <c r="L853" s="1" t="s">
        <v>5063</v>
      </c>
      <c r="P853" s="1" t="s">
        <v>5017</v>
      </c>
      <c r="Q853" s="1">
        <v>2002</v>
      </c>
      <c r="R853" s="1" t="s">
        <v>5018</v>
      </c>
      <c r="S853" s="1" t="s">
        <v>27</v>
      </c>
      <c r="T853" s="6">
        <v>1</v>
      </c>
      <c r="U853" s="1">
        <v>74</v>
      </c>
      <c r="W853" s="1">
        <v>4</v>
      </c>
      <c r="AS853" s="1" t="s">
        <v>15</v>
      </c>
      <c r="AU853" s="1" t="s">
        <v>15</v>
      </c>
      <c r="AW853" s="1">
        <v>0.1</v>
      </c>
      <c r="BA853" s="1">
        <v>0.6</v>
      </c>
      <c r="BG853" s="1">
        <v>0.1</v>
      </c>
      <c r="BI853" s="1" t="s">
        <v>15</v>
      </c>
      <c r="BM853" s="1" t="s">
        <v>15</v>
      </c>
      <c r="BN853" s="1" t="s">
        <v>15</v>
      </c>
      <c r="BS853" s="1" t="s">
        <v>15</v>
      </c>
      <c r="CA853" s="1">
        <v>0.4</v>
      </c>
      <c r="CQ853" s="1">
        <v>0.7</v>
      </c>
      <c r="CZ853" s="1" t="s">
        <v>15</v>
      </c>
      <c r="DD853" s="1" t="s">
        <v>15</v>
      </c>
      <c r="DF853" s="1" t="s">
        <v>15</v>
      </c>
      <c r="DN853" s="1">
        <v>0.2</v>
      </c>
      <c r="DT853" s="1" t="s">
        <v>15</v>
      </c>
      <c r="DW853" s="1" t="s">
        <v>15</v>
      </c>
      <c r="ED853" s="1">
        <v>0.1</v>
      </c>
      <c r="EH853" s="1" t="s">
        <v>15</v>
      </c>
      <c r="EK853" s="1" t="s">
        <v>15</v>
      </c>
      <c r="EL853" s="1" t="s">
        <v>15</v>
      </c>
      <c r="EO853" s="1" t="s">
        <v>15</v>
      </c>
      <c r="EX853" s="1">
        <v>0.1</v>
      </c>
      <c r="FA853" s="1" t="s">
        <v>15</v>
      </c>
      <c r="FE853" s="1">
        <v>0.2</v>
      </c>
    </row>
    <row r="854" spans="1:169" x14ac:dyDescent="0.2">
      <c r="A854" s="1" t="s">
        <v>5075</v>
      </c>
      <c r="B854" s="1" t="s">
        <v>55</v>
      </c>
      <c r="C854" s="1" t="s">
        <v>237</v>
      </c>
      <c r="E854" s="1">
        <v>23</v>
      </c>
      <c r="F854" s="1" t="s">
        <v>5059</v>
      </c>
      <c r="H854" s="1" t="s">
        <v>5074</v>
      </c>
      <c r="I854" s="1" t="s">
        <v>7</v>
      </c>
      <c r="J854" s="1" t="s">
        <v>5061</v>
      </c>
      <c r="K854" s="1" t="s">
        <v>5062</v>
      </c>
      <c r="L854" s="1" t="s">
        <v>5063</v>
      </c>
      <c r="P854" s="1" t="s">
        <v>5017</v>
      </c>
      <c r="Q854" s="1">
        <v>2002</v>
      </c>
      <c r="R854" s="1" t="s">
        <v>5018</v>
      </c>
      <c r="S854" s="1" t="s">
        <v>27</v>
      </c>
      <c r="T854" s="6">
        <v>1</v>
      </c>
      <c r="U854" s="1">
        <v>77</v>
      </c>
      <c r="W854" s="1">
        <v>3.6</v>
      </c>
      <c r="AW854" s="1" t="s">
        <v>15</v>
      </c>
      <c r="BA854" s="1">
        <v>0.2</v>
      </c>
      <c r="BG854" s="1">
        <v>0.1</v>
      </c>
      <c r="CA854" s="1">
        <v>0.1</v>
      </c>
      <c r="CQ854" s="1">
        <v>0.2</v>
      </c>
      <c r="CZ854" s="1" t="s">
        <v>15</v>
      </c>
      <c r="DD854" s="1" t="s">
        <v>15</v>
      </c>
      <c r="DN854" s="1">
        <v>0.1</v>
      </c>
      <c r="DT854" s="1" t="s">
        <v>15</v>
      </c>
      <c r="EH854" s="1" t="s">
        <v>15</v>
      </c>
      <c r="EK854" s="1" t="s">
        <v>15</v>
      </c>
      <c r="EO854" s="1" t="s">
        <v>15</v>
      </c>
      <c r="EX854" s="1">
        <v>0.1</v>
      </c>
      <c r="FA854" s="1" t="s">
        <v>15</v>
      </c>
      <c r="FE854" s="1" t="s">
        <v>15</v>
      </c>
    </row>
    <row r="855" spans="1:169" x14ac:dyDescent="0.2">
      <c r="A855" s="1" t="s">
        <v>5076</v>
      </c>
      <c r="B855" s="1" t="s">
        <v>57</v>
      </c>
      <c r="C855" s="1" t="s">
        <v>5077</v>
      </c>
      <c r="D855" s="1" t="s">
        <v>2</v>
      </c>
      <c r="E855" s="1">
        <v>54</v>
      </c>
      <c r="F855" s="1" t="s">
        <v>4913</v>
      </c>
      <c r="H855" s="1" t="s">
        <v>5078</v>
      </c>
      <c r="I855" s="1" t="s">
        <v>7</v>
      </c>
      <c r="J855" s="1" t="s">
        <v>4917</v>
      </c>
      <c r="K855" s="1" t="s">
        <v>4916</v>
      </c>
      <c r="L855" s="1" t="s">
        <v>4917</v>
      </c>
      <c r="M855" s="1" t="s">
        <v>5079</v>
      </c>
      <c r="O855" s="1">
        <v>3</v>
      </c>
      <c r="P855" s="1" t="s">
        <v>5080</v>
      </c>
      <c r="Q855" s="1">
        <v>2010</v>
      </c>
      <c r="R855" s="1" t="s">
        <v>5081</v>
      </c>
      <c r="S855" s="1" t="s">
        <v>27</v>
      </c>
      <c r="T855" s="6">
        <v>1</v>
      </c>
      <c r="U855" s="1">
        <v>73.319999999999993</v>
      </c>
      <c r="W855" s="1">
        <v>1.875604</v>
      </c>
      <c r="Y855" s="1">
        <v>0.43415245295999999</v>
      </c>
      <c r="Z855" s="1">
        <v>0.33384826555199998</v>
      </c>
      <c r="AA855" s="1">
        <v>0.73057378291200004</v>
      </c>
      <c r="AD855" s="1">
        <v>0.79818417107235895</v>
      </c>
      <c r="AF855" s="1">
        <v>0.53595371779199996</v>
      </c>
      <c r="AG855" s="1">
        <v>0.19462006511999999</v>
      </c>
      <c r="AU855" s="1">
        <v>3.1438625903999998E-2</v>
      </c>
      <c r="AW855" s="1">
        <v>1.9462006511999998E-2</v>
      </c>
      <c r="AY855" s="1">
        <v>1.0479541968E-2</v>
      </c>
      <c r="BA855" s="1">
        <v>0.21108791678399999</v>
      </c>
      <c r="BD855" s="1">
        <v>3.8924013023999997E-2</v>
      </c>
      <c r="BG855" s="1">
        <v>0.101801264832</v>
      </c>
      <c r="BL855" s="1">
        <v>2.0959083936E-2</v>
      </c>
      <c r="BV855" s="1">
        <v>7.48538712E-3</v>
      </c>
      <c r="BZ855" s="1">
        <v>0.16916974891200001</v>
      </c>
      <c r="CF855" s="1">
        <v>6.1380174384000001E-2</v>
      </c>
      <c r="CK855" s="1">
        <v>2.5450316208E-2</v>
      </c>
      <c r="CM855" s="1">
        <v>2.8444471055999999E-2</v>
      </c>
      <c r="CZ855" s="1">
        <v>4.1918167871999999E-2</v>
      </c>
      <c r="DN855" s="1">
        <v>3.2935703327999999E-2</v>
      </c>
      <c r="DT855" s="1">
        <v>1.9462006511999998E-2</v>
      </c>
      <c r="EH855" s="1">
        <v>2.6947393632000001E-2</v>
      </c>
      <c r="EK855" s="1">
        <v>2.2456161360000001E-2</v>
      </c>
      <c r="EN855" s="1">
        <v>5.8386019535999999E-2</v>
      </c>
      <c r="ET855" s="1">
        <v>9.7310032559999995E-2</v>
      </c>
      <c r="EX855" s="1">
        <v>4.4912322720000002E-2</v>
      </c>
      <c r="FA855" s="1">
        <v>1.1976619391999999E-2</v>
      </c>
      <c r="FE855" s="1">
        <v>0.21857330390400001</v>
      </c>
      <c r="FI855" s="1">
        <v>2.9941548479999998E-3</v>
      </c>
      <c r="FJ855" s="1">
        <v>5.9883096959999996E-3</v>
      </c>
      <c r="FM855" s="1">
        <v>0.18563760057600001</v>
      </c>
    </row>
    <row r="856" spans="1:169" x14ac:dyDescent="0.2">
      <c r="A856" s="1" t="s">
        <v>5082</v>
      </c>
      <c r="B856" s="1" t="s">
        <v>57</v>
      </c>
      <c r="C856" s="1" t="s">
        <v>5077</v>
      </c>
      <c r="D856" s="1" t="s">
        <v>2</v>
      </c>
      <c r="E856" s="1">
        <v>54</v>
      </c>
      <c r="F856" s="1" t="s">
        <v>4913</v>
      </c>
      <c r="H856" s="1" t="s">
        <v>5078</v>
      </c>
      <c r="I856" s="1" t="s">
        <v>7</v>
      </c>
      <c r="J856" s="1" t="s">
        <v>4917</v>
      </c>
      <c r="K856" s="1" t="s">
        <v>4916</v>
      </c>
      <c r="L856" s="1" t="s">
        <v>4917</v>
      </c>
      <c r="M856" s="1" t="s">
        <v>5083</v>
      </c>
      <c r="O856" s="1">
        <v>3</v>
      </c>
      <c r="P856" s="1" t="s">
        <v>5080</v>
      </c>
      <c r="Q856" s="1">
        <v>2010</v>
      </c>
      <c r="R856" s="1" t="s">
        <v>5081</v>
      </c>
      <c r="S856" s="1" t="s">
        <v>27</v>
      </c>
      <c r="T856" s="6">
        <v>1</v>
      </c>
      <c r="U856" s="1">
        <v>75.66</v>
      </c>
      <c r="W856" s="1">
        <v>2.3926219999999998</v>
      </c>
      <c r="Y856" s="1">
        <v>0.73679825383999997</v>
      </c>
      <c r="Z856" s="1">
        <v>0.47593184504800001</v>
      </c>
      <c r="AA856" s="1">
        <v>0.77861653311199996</v>
      </c>
      <c r="AD856" s="1">
        <v>0.83228635028851194</v>
      </c>
      <c r="AF856" s="1">
        <v>0.68104054814399995</v>
      </c>
      <c r="AG856" s="1">
        <v>9.7575984968000004E-2</v>
      </c>
      <c r="AU856" s="1">
        <v>2.5887506216E-2</v>
      </c>
      <c r="AW856" s="1">
        <v>5.3766359063999999E-2</v>
      </c>
      <c r="AY856" s="1">
        <v>1.5930773055999999E-2</v>
      </c>
      <c r="BA856" s="1">
        <v>0.41619144608800002</v>
      </c>
      <c r="BD856" s="1">
        <v>4.9783665800000002E-2</v>
      </c>
      <c r="BG856" s="1">
        <v>0.14735965076800001</v>
      </c>
      <c r="BL856" s="1">
        <v>2.5887506216E-2</v>
      </c>
      <c r="BV856" s="1">
        <v>7.9653865279999993E-3</v>
      </c>
      <c r="BZ856" s="1">
        <v>0.211082742992</v>
      </c>
      <c r="CF856" s="1">
        <v>6.1731745592000002E-2</v>
      </c>
      <c r="CK856" s="1">
        <v>1.5930773055999999E-2</v>
      </c>
      <c r="CM856" s="1">
        <v>5.5757705695999998E-2</v>
      </c>
      <c r="CZ856" s="1">
        <v>0.123463491184</v>
      </c>
      <c r="DN856" s="1">
        <v>3.1861546111999997E-2</v>
      </c>
      <c r="DT856" s="1">
        <v>3.9826932639999996E-3</v>
      </c>
      <c r="EH856" s="1">
        <v>2.9870199480000002E-2</v>
      </c>
      <c r="EK856" s="1">
        <v>1.9913466319999998E-3</v>
      </c>
      <c r="EN856" s="1">
        <v>2.3896159584000001E-2</v>
      </c>
      <c r="ET856" s="1">
        <v>7.7662518648000001E-2</v>
      </c>
      <c r="EX856" s="1">
        <v>2.7878852847999999E-2</v>
      </c>
      <c r="FA856" s="1">
        <v>1.9913466319999998E-3</v>
      </c>
      <c r="FE856" s="1">
        <v>0.22900486268</v>
      </c>
      <c r="FI856" s="1">
        <v>7.9653865279999993E-3</v>
      </c>
      <c r="FJ856" s="1">
        <v>1.1948079792000001E-2</v>
      </c>
      <c r="FM856" s="1">
        <v>0.33255488754399998</v>
      </c>
    </row>
    <row r="857" spans="1:169" x14ac:dyDescent="0.2">
      <c r="A857" s="1" t="s">
        <v>5084</v>
      </c>
      <c r="B857" s="1" t="s">
        <v>57</v>
      </c>
      <c r="C857" s="1" t="s">
        <v>5077</v>
      </c>
      <c r="D857" s="1" t="s">
        <v>2</v>
      </c>
      <c r="E857" s="1">
        <v>54</v>
      </c>
      <c r="F857" s="1" t="s">
        <v>4913</v>
      </c>
      <c r="H857" s="1" t="s">
        <v>5078</v>
      </c>
      <c r="I857" s="1" t="s">
        <v>7</v>
      </c>
      <c r="J857" s="1" t="s">
        <v>4917</v>
      </c>
      <c r="K857" s="1" t="s">
        <v>4916</v>
      </c>
      <c r="L857" s="1" t="s">
        <v>4917</v>
      </c>
      <c r="M857" s="1" t="s">
        <v>5085</v>
      </c>
      <c r="O857" s="1">
        <v>3</v>
      </c>
      <c r="P857" s="1" t="s">
        <v>5080</v>
      </c>
      <c r="Q857" s="1">
        <v>2010</v>
      </c>
      <c r="R857" s="1" t="s">
        <v>5081</v>
      </c>
      <c r="S857" s="1" t="s">
        <v>27</v>
      </c>
      <c r="T857" s="6">
        <v>1</v>
      </c>
      <c r="U857" s="1">
        <v>73.790000000000006</v>
      </c>
      <c r="W857" s="1">
        <v>3.5566970000000002</v>
      </c>
      <c r="Y857" s="1">
        <v>1.0926792208639999</v>
      </c>
      <c r="Z857" s="1">
        <v>0.68602871537200005</v>
      </c>
      <c r="AA857" s="1">
        <v>1.328598598096</v>
      </c>
      <c r="AD857" s="1">
        <v>0.87277671727448203</v>
      </c>
      <c r="AF857" s="1">
        <v>1.136138053512</v>
      </c>
      <c r="AG857" s="1">
        <v>0.18935634225199999</v>
      </c>
      <c r="AU857" s="1">
        <v>1.8625213992000001E-2</v>
      </c>
      <c r="AW857" s="1">
        <v>7.7605058300000002E-2</v>
      </c>
      <c r="AY857" s="1">
        <v>2.4833618655999999E-2</v>
      </c>
      <c r="BA857" s="1">
        <v>0.66740350138000004</v>
      </c>
      <c r="BD857" s="1">
        <v>7.1396653635999993E-2</v>
      </c>
      <c r="BG857" s="1">
        <v>0.20177315158</v>
      </c>
      <c r="BL857" s="1">
        <v>3.1042023320000001E-2</v>
      </c>
      <c r="BV857" s="1">
        <v>1.552101166E-2</v>
      </c>
      <c r="BZ857" s="1">
        <v>0.2328151749</v>
      </c>
      <c r="CF857" s="1">
        <v>0.11795968861599999</v>
      </c>
      <c r="CK857" s="1">
        <v>3.1042023320000001E-2</v>
      </c>
      <c r="CM857" s="1">
        <v>9.6230272291999999E-2</v>
      </c>
      <c r="CZ857" s="1">
        <v>0.192460544584</v>
      </c>
      <c r="DN857" s="1">
        <v>5.8979844307999997E-2</v>
      </c>
      <c r="DT857" s="1">
        <v>6.2084046639999998E-3</v>
      </c>
      <c r="EH857" s="1">
        <v>4.9667237311999998E-2</v>
      </c>
      <c r="EK857" s="1">
        <v>3.1042023319999999E-3</v>
      </c>
      <c r="EN857" s="1">
        <v>3.7250427984000002E-2</v>
      </c>
      <c r="ET857" s="1">
        <v>0.10243867695599999</v>
      </c>
      <c r="EX857" s="1">
        <v>6.8292451303999996E-2</v>
      </c>
      <c r="FA857" s="1">
        <v>6.2084046639999998E-3</v>
      </c>
      <c r="FE857" s="1">
        <v>0.37871268450399997</v>
      </c>
      <c r="FI857" s="1">
        <v>1.2416809328E-2</v>
      </c>
      <c r="FJ857" s="1">
        <v>3.4146225651999998E-2</v>
      </c>
      <c r="FM857" s="1">
        <v>0.56806902675600002</v>
      </c>
    </row>
    <row r="858" spans="1:169" x14ac:dyDescent="0.2">
      <c r="A858" s="1" t="s">
        <v>5086</v>
      </c>
      <c r="B858" s="1" t="s">
        <v>57</v>
      </c>
      <c r="C858" s="1" t="s">
        <v>5077</v>
      </c>
      <c r="D858" s="1" t="s">
        <v>2</v>
      </c>
      <c r="E858" s="1">
        <v>54</v>
      </c>
      <c r="F858" s="1" t="s">
        <v>4913</v>
      </c>
      <c r="H858" s="1" t="s">
        <v>5078</v>
      </c>
      <c r="I858" s="1" t="s">
        <v>7</v>
      </c>
      <c r="J858" s="1" t="s">
        <v>4917</v>
      </c>
      <c r="K858" s="1" t="s">
        <v>4916</v>
      </c>
      <c r="L858" s="1" t="s">
        <v>4917</v>
      </c>
      <c r="M858" s="1" t="s">
        <v>5087</v>
      </c>
      <c r="O858" s="1">
        <v>3</v>
      </c>
      <c r="P858" s="1" t="s">
        <v>5080</v>
      </c>
      <c r="Q858" s="1">
        <v>2010</v>
      </c>
      <c r="R858" s="1" t="s">
        <v>5081</v>
      </c>
      <c r="S858" s="1" t="s">
        <v>27</v>
      </c>
      <c r="T858" s="6">
        <v>1</v>
      </c>
      <c r="U858" s="1">
        <v>71.38</v>
      </c>
      <c r="W858" s="1">
        <v>2.4384239999999999</v>
      </c>
      <c r="Y858" s="1">
        <v>0.80591280422400002</v>
      </c>
      <c r="Z858" s="1">
        <v>0.388710468704</v>
      </c>
      <c r="AA858" s="1">
        <v>0.84051007107200004</v>
      </c>
      <c r="AD858" s="1">
        <v>0.83461011866681101</v>
      </c>
      <c r="AF858" s="1">
        <v>0.69805073699200004</v>
      </c>
      <c r="AG858" s="1">
        <v>0.14245933408</v>
      </c>
      <c r="AU858" s="1">
        <v>1.8316200096000001E-2</v>
      </c>
      <c r="AW858" s="1">
        <v>4.2737800223999999E-2</v>
      </c>
      <c r="AY858" s="1">
        <v>2.4421600128000001E-2</v>
      </c>
      <c r="BA858" s="1">
        <v>0.45790500239999998</v>
      </c>
      <c r="BD858" s="1">
        <v>5.4948600287999999E-2</v>
      </c>
      <c r="BG858" s="1">
        <v>0.15467013414399999</v>
      </c>
      <c r="BL858" s="1">
        <v>5.2913466944000002E-2</v>
      </c>
      <c r="BV858" s="1">
        <v>1.017566672E-2</v>
      </c>
      <c r="BZ858" s="1">
        <v>0.13024853401600001</v>
      </c>
      <c r="CF858" s="1">
        <v>6.1054000320000003E-2</v>
      </c>
      <c r="CK858" s="1">
        <v>2.6456733472000001E-2</v>
      </c>
      <c r="CM858" s="1">
        <v>5.6983733632000003E-2</v>
      </c>
      <c r="CZ858" s="1">
        <v>0.105826933888</v>
      </c>
      <c r="DN858" s="1">
        <v>4.4772933568000002E-2</v>
      </c>
      <c r="DT858" s="1">
        <v>1.4245933408000001E-2</v>
      </c>
      <c r="EH858" s="1">
        <v>2.2386466784000001E-2</v>
      </c>
      <c r="EK858" s="1">
        <v>4.0702666880000002E-3</v>
      </c>
      <c r="EN858" s="1">
        <v>3.0527000160000001E-2</v>
      </c>
      <c r="ET858" s="1">
        <v>0.103791800544</v>
      </c>
      <c r="EX858" s="1">
        <v>3.2562133504000002E-2</v>
      </c>
      <c r="FA858" s="1">
        <v>8.1405333760000004E-3</v>
      </c>
      <c r="FE858" s="1">
        <v>0.219794401152</v>
      </c>
      <c r="FI858" s="1">
        <v>8.1405333760000004E-3</v>
      </c>
      <c r="FJ858" s="1">
        <v>1.2210800064000001E-2</v>
      </c>
      <c r="FM858" s="1">
        <v>0.33986726844800003</v>
      </c>
    </row>
    <row r="859" spans="1:169" x14ac:dyDescent="0.2">
      <c r="A859" s="1" t="s">
        <v>5088</v>
      </c>
      <c r="B859" s="1" t="s">
        <v>55</v>
      </c>
      <c r="C859" s="1" t="s">
        <v>5089</v>
      </c>
      <c r="D859" s="1" t="s">
        <v>2</v>
      </c>
      <c r="E859" s="1">
        <v>23</v>
      </c>
      <c r="F859" s="1" t="s">
        <v>5013</v>
      </c>
      <c r="G859" s="1" t="s">
        <v>5090</v>
      </c>
      <c r="H859" s="1" t="s">
        <v>5091</v>
      </c>
      <c r="I859" s="1" t="s">
        <v>7</v>
      </c>
      <c r="J859" s="1" t="s">
        <v>5015</v>
      </c>
      <c r="K859" s="1" t="s">
        <v>5016</v>
      </c>
      <c r="L859" s="1" t="s">
        <v>5015</v>
      </c>
      <c r="N859" s="1" t="s">
        <v>5092</v>
      </c>
      <c r="O859" s="1">
        <v>6</v>
      </c>
      <c r="Q859" s="1">
        <v>2011</v>
      </c>
      <c r="R859" s="1" t="s">
        <v>5093</v>
      </c>
      <c r="S859" s="1" t="s">
        <v>27</v>
      </c>
      <c r="T859" s="6">
        <v>1</v>
      </c>
      <c r="U859" s="1">
        <v>68.599999999999994</v>
      </c>
      <c r="W859" s="1">
        <v>12.1</v>
      </c>
    </row>
    <row r="860" spans="1:169" x14ac:dyDescent="0.2">
      <c r="A860" s="1" t="s">
        <v>5094</v>
      </c>
      <c r="B860" s="1" t="s">
        <v>55</v>
      </c>
      <c r="C860" s="1" t="s">
        <v>5089</v>
      </c>
      <c r="D860" s="1" t="s">
        <v>2</v>
      </c>
      <c r="E860" s="1">
        <v>23</v>
      </c>
      <c r="F860" s="1" t="s">
        <v>1274</v>
      </c>
      <c r="G860" s="1" t="s">
        <v>5095</v>
      </c>
      <c r="H860" s="1" t="s">
        <v>5096</v>
      </c>
      <c r="I860" s="1" t="s">
        <v>7</v>
      </c>
      <c r="J860" s="1" t="s">
        <v>5097</v>
      </c>
      <c r="K860" s="1" t="s">
        <v>1277</v>
      </c>
      <c r="L860" s="1" t="s">
        <v>1276</v>
      </c>
      <c r="N860" s="1" t="s">
        <v>5092</v>
      </c>
      <c r="O860" s="1">
        <v>5</v>
      </c>
      <c r="Q860" s="1">
        <v>2011</v>
      </c>
      <c r="R860" s="1" t="s">
        <v>5093</v>
      </c>
      <c r="S860" s="1" t="s">
        <v>27</v>
      </c>
      <c r="T860" s="6">
        <v>1</v>
      </c>
      <c r="U860" s="1">
        <v>67.5</v>
      </c>
      <c r="W860" s="1">
        <v>11.9</v>
      </c>
    </row>
    <row r="861" spans="1:169" x14ac:dyDescent="0.2">
      <c r="A861" s="1" t="s">
        <v>5098</v>
      </c>
      <c r="B861" s="1" t="s">
        <v>55</v>
      </c>
      <c r="C861" s="1" t="s">
        <v>5099</v>
      </c>
      <c r="D861" s="1" t="s">
        <v>4</v>
      </c>
      <c r="E861" s="1">
        <v>34</v>
      </c>
      <c r="F861" s="1" t="s">
        <v>5100</v>
      </c>
      <c r="G861" s="1" t="s">
        <v>5101</v>
      </c>
      <c r="H861" s="1" t="s">
        <v>5102</v>
      </c>
      <c r="I861" s="1" t="s">
        <v>7</v>
      </c>
      <c r="K861" s="1" t="s">
        <v>5103</v>
      </c>
      <c r="L861" s="1" t="s">
        <v>5104</v>
      </c>
      <c r="O861" s="1">
        <v>1</v>
      </c>
      <c r="Q861" s="1">
        <v>2011</v>
      </c>
      <c r="R861" s="1" t="s">
        <v>5093</v>
      </c>
      <c r="S861" s="1" t="s">
        <v>27</v>
      </c>
      <c r="T861" s="6">
        <v>1</v>
      </c>
      <c r="U861" s="1">
        <v>78.099999999999994</v>
      </c>
      <c r="W861" s="1">
        <v>3.4</v>
      </c>
    </row>
    <row r="862" spans="1:169" x14ac:dyDescent="0.2">
      <c r="A862" s="1" t="s">
        <v>5105</v>
      </c>
      <c r="B862" s="1" t="s">
        <v>55</v>
      </c>
      <c r="C862" s="1" t="s">
        <v>5089</v>
      </c>
      <c r="D862" s="1" t="s">
        <v>2</v>
      </c>
      <c r="E862" s="1">
        <v>23</v>
      </c>
      <c r="F862" s="1" t="s">
        <v>5035</v>
      </c>
      <c r="G862" s="1" t="s">
        <v>5106</v>
      </c>
      <c r="H862" s="1" t="s">
        <v>5107</v>
      </c>
      <c r="I862" s="1" t="s">
        <v>11</v>
      </c>
      <c r="K862" s="1" t="s">
        <v>5108</v>
      </c>
      <c r="L862" s="1" t="s">
        <v>5109</v>
      </c>
      <c r="O862" s="1">
        <v>1</v>
      </c>
      <c r="Q862" s="1">
        <v>2011</v>
      </c>
      <c r="R862" s="1" t="s">
        <v>5093</v>
      </c>
      <c r="S862" s="1" t="s">
        <v>27</v>
      </c>
      <c r="T862" s="6">
        <v>1</v>
      </c>
      <c r="U862" s="1">
        <v>61.5</v>
      </c>
      <c r="W862" s="1">
        <v>12.5</v>
      </c>
    </row>
    <row r="863" spans="1:169" x14ac:dyDescent="0.2">
      <c r="A863" s="1" t="s">
        <v>5110</v>
      </c>
      <c r="B863" s="1" t="s">
        <v>55</v>
      </c>
      <c r="C863" s="1" t="s">
        <v>5099</v>
      </c>
      <c r="D863" s="1" t="s">
        <v>4</v>
      </c>
      <c r="E863" s="1">
        <v>32</v>
      </c>
      <c r="F863" s="1" t="s">
        <v>1870</v>
      </c>
      <c r="G863" s="1" t="s">
        <v>5111</v>
      </c>
      <c r="H863" s="1" t="s">
        <v>5112</v>
      </c>
      <c r="I863" s="1" t="s">
        <v>11</v>
      </c>
      <c r="K863" s="1" t="s">
        <v>5113</v>
      </c>
      <c r="L863" s="1" t="s">
        <v>5114</v>
      </c>
      <c r="O863" s="1">
        <v>1</v>
      </c>
      <c r="Q863" s="1">
        <v>2011</v>
      </c>
      <c r="R863" s="1" t="s">
        <v>5093</v>
      </c>
      <c r="S863" s="1" t="s">
        <v>27</v>
      </c>
      <c r="T863" s="6">
        <v>1</v>
      </c>
      <c r="U863" s="1">
        <v>58.5</v>
      </c>
      <c r="W863" s="1">
        <v>0.2</v>
      </c>
    </row>
    <row r="864" spans="1:169" x14ac:dyDescent="0.2">
      <c r="A864" s="1" t="s">
        <v>5115</v>
      </c>
      <c r="B864" s="1" t="s">
        <v>55</v>
      </c>
      <c r="C864" s="1" t="s">
        <v>5099</v>
      </c>
      <c r="D864" s="1" t="s">
        <v>4</v>
      </c>
      <c r="E864" s="1">
        <v>32</v>
      </c>
      <c r="F864" s="1" t="s">
        <v>1870</v>
      </c>
      <c r="G864" s="1" t="s">
        <v>5116</v>
      </c>
      <c r="H864" s="1" t="s">
        <v>5117</v>
      </c>
      <c r="I864" s="1" t="s">
        <v>11</v>
      </c>
      <c r="K864" s="1" t="s">
        <v>5113</v>
      </c>
      <c r="L864" s="1" t="s">
        <v>5114</v>
      </c>
      <c r="N864" s="1" t="s">
        <v>5092</v>
      </c>
      <c r="O864" s="1">
        <v>2</v>
      </c>
      <c r="Q864" s="1">
        <v>2011</v>
      </c>
      <c r="R864" s="1" t="s">
        <v>5093</v>
      </c>
      <c r="S864" s="1" t="s">
        <v>27</v>
      </c>
      <c r="T864" s="6">
        <v>1</v>
      </c>
      <c r="U864" s="1">
        <v>80.900000000000006</v>
      </c>
      <c r="W864" s="1">
        <v>0.1</v>
      </c>
    </row>
    <row r="865" spans="1:169" x14ac:dyDescent="0.2">
      <c r="A865" s="1" t="s">
        <v>5118</v>
      </c>
      <c r="B865" s="1" t="s">
        <v>55</v>
      </c>
      <c r="C865" s="1" t="s">
        <v>5099</v>
      </c>
      <c r="D865" s="1" t="s">
        <v>4</v>
      </c>
      <c r="E865" s="1">
        <v>32</v>
      </c>
      <c r="F865" s="1" t="s">
        <v>1870</v>
      </c>
      <c r="G865" s="1" t="s">
        <v>5119</v>
      </c>
      <c r="H865" s="1" t="s">
        <v>5117</v>
      </c>
      <c r="I865" s="1" t="s">
        <v>11</v>
      </c>
      <c r="K865" s="1" t="s">
        <v>5113</v>
      </c>
      <c r="L865" s="1" t="s">
        <v>5114</v>
      </c>
      <c r="N865" s="1" t="s">
        <v>5092</v>
      </c>
      <c r="O865" s="1">
        <v>2</v>
      </c>
      <c r="Q865" s="1">
        <v>2011</v>
      </c>
      <c r="R865" s="1" t="s">
        <v>5093</v>
      </c>
      <c r="S865" s="1" t="s">
        <v>27</v>
      </c>
      <c r="T865" s="6">
        <v>1</v>
      </c>
      <c r="U865" s="1">
        <v>73.599999999999994</v>
      </c>
      <c r="W865" s="1">
        <v>0.2</v>
      </c>
    </row>
    <row r="866" spans="1:169" x14ac:dyDescent="0.2">
      <c r="A866" s="1" t="s">
        <v>5120</v>
      </c>
      <c r="B866" s="1" t="s">
        <v>55</v>
      </c>
      <c r="C866" s="1" t="s">
        <v>5099</v>
      </c>
      <c r="D866" s="1" t="s">
        <v>4</v>
      </c>
      <c r="E866" s="1">
        <v>35</v>
      </c>
      <c r="F866" s="1" t="s">
        <v>5121</v>
      </c>
      <c r="G866" s="1" t="s">
        <v>5122</v>
      </c>
      <c r="H866" s="1" t="s">
        <v>5123</v>
      </c>
      <c r="I866" s="1" t="s">
        <v>11</v>
      </c>
      <c r="K866" s="1" t="s">
        <v>5124</v>
      </c>
      <c r="L866" s="1" t="s">
        <v>5125</v>
      </c>
      <c r="O866" s="1">
        <v>1</v>
      </c>
      <c r="Q866" s="1">
        <v>2011</v>
      </c>
      <c r="R866" s="1" t="s">
        <v>5093</v>
      </c>
      <c r="S866" s="1" t="s">
        <v>27</v>
      </c>
      <c r="T866" s="6">
        <v>1</v>
      </c>
      <c r="U866" s="1">
        <v>55.7</v>
      </c>
      <c r="W866" s="1">
        <v>19.7</v>
      </c>
    </row>
    <row r="867" spans="1:169" x14ac:dyDescent="0.2">
      <c r="A867" s="1" t="s">
        <v>5126</v>
      </c>
      <c r="B867" s="1" t="s">
        <v>55</v>
      </c>
      <c r="C867" s="1" t="s">
        <v>5099</v>
      </c>
      <c r="D867" s="1" t="s">
        <v>4</v>
      </c>
      <c r="E867" s="1">
        <v>32</v>
      </c>
      <c r="F867" s="1" t="s">
        <v>1870</v>
      </c>
      <c r="G867" s="1" t="s">
        <v>5127</v>
      </c>
      <c r="H867" s="1" t="s">
        <v>5128</v>
      </c>
      <c r="I867" s="1" t="s">
        <v>9</v>
      </c>
      <c r="K867" s="1" t="s">
        <v>5113</v>
      </c>
      <c r="L867" s="1" t="s">
        <v>5114</v>
      </c>
      <c r="O867" s="1">
        <v>1</v>
      </c>
      <c r="Q867" s="1">
        <v>2011</v>
      </c>
      <c r="R867" s="1" t="s">
        <v>5093</v>
      </c>
      <c r="S867" s="1" t="s">
        <v>27</v>
      </c>
      <c r="T867" s="6">
        <v>1</v>
      </c>
      <c r="U867" s="1">
        <v>67.7</v>
      </c>
    </row>
    <row r="868" spans="1:169" x14ac:dyDescent="0.2">
      <c r="A868" s="1" t="s">
        <v>5129</v>
      </c>
      <c r="B868" s="1" t="s">
        <v>55</v>
      </c>
      <c r="C868" s="1" t="s">
        <v>5099</v>
      </c>
      <c r="D868" s="1" t="s">
        <v>4</v>
      </c>
      <c r="E868" s="1">
        <v>32</v>
      </c>
      <c r="F868" s="1" t="s">
        <v>1870</v>
      </c>
      <c r="G868" s="1" t="s">
        <v>5130</v>
      </c>
      <c r="H868" s="1" t="s">
        <v>5131</v>
      </c>
      <c r="I868" s="1" t="s">
        <v>11</v>
      </c>
      <c r="K868" s="1" t="s">
        <v>5113</v>
      </c>
      <c r="L868" s="1" t="s">
        <v>5114</v>
      </c>
      <c r="O868" s="1">
        <v>1</v>
      </c>
      <c r="Q868" s="1">
        <v>2011</v>
      </c>
      <c r="R868" s="1" t="s">
        <v>5093</v>
      </c>
      <c r="S868" s="1" t="s">
        <v>27</v>
      </c>
      <c r="T868" s="6">
        <v>1</v>
      </c>
      <c r="U868" s="1">
        <v>75.3</v>
      </c>
    </row>
    <row r="869" spans="1:169" x14ac:dyDescent="0.2">
      <c r="A869" s="1" t="s">
        <v>5132</v>
      </c>
      <c r="B869" s="1" t="s">
        <v>55</v>
      </c>
      <c r="C869" s="1" t="s">
        <v>5089</v>
      </c>
      <c r="D869" s="1" t="s">
        <v>2</v>
      </c>
      <c r="E869" s="1">
        <v>23</v>
      </c>
      <c r="F869" s="1" t="s">
        <v>5013</v>
      </c>
      <c r="G869" s="1" t="s">
        <v>5090</v>
      </c>
      <c r="H869" s="1" t="s">
        <v>5091</v>
      </c>
      <c r="I869" s="1" t="s">
        <v>7</v>
      </c>
      <c r="J869" s="1" t="s">
        <v>5133</v>
      </c>
      <c r="K869" s="1" t="s">
        <v>5016</v>
      </c>
      <c r="L869" s="1" t="s">
        <v>5015</v>
      </c>
      <c r="P869" s="1" t="s">
        <v>1671</v>
      </c>
      <c r="Q869" s="1">
        <v>2011</v>
      </c>
      <c r="R869" s="1" t="s">
        <v>5093</v>
      </c>
      <c r="S869" s="1" t="s">
        <v>27</v>
      </c>
      <c r="T869" s="6">
        <v>1</v>
      </c>
      <c r="V869" s="1">
        <v>11.6</v>
      </c>
      <c r="Y869" s="1">
        <v>1.9464059719468001</v>
      </c>
      <c r="Z869" s="1">
        <v>5.2606024664779296</v>
      </c>
      <c r="AA869" s="1">
        <v>2.5090326904801499</v>
      </c>
      <c r="AB869" s="1">
        <v>0.93549803454126901</v>
      </c>
      <c r="AC869" s="1">
        <v>2.8260836553856299E-2</v>
      </c>
      <c r="AD869" s="1">
        <v>0.92067241379310305</v>
      </c>
      <c r="AF869" s="1">
        <v>2.0604708890813401</v>
      </c>
      <c r="AG869" s="1">
        <v>0.45592552014045901</v>
      </c>
      <c r="AU869" s="1">
        <v>4.9761237178950002E-3</v>
      </c>
      <c r="AW869" s="1">
        <v>0.46378368854323698</v>
      </c>
      <c r="AY869" s="1">
        <v>3.04117212647603E-2</v>
      </c>
      <c r="BA869" s="1">
        <v>1.2335643750768199</v>
      </c>
      <c r="BD869" s="1">
        <v>1.34276868456936E-2</v>
      </c>
      <c r="BG869" s="1">
        <v>0.18353146166570899</v>
      </c>
      <c r="BI869" s="1">
        <v>1.0245343976989001E-2</v>
      </c>
      <c r="BK869" s="1">
        <v>4.5218036131192E-3</v>
      </c>
      <c r="BM869" s="1">
        <v>1.9437672425714799E-3</v>
      </c>
      <c r="BS869" s="1">
        <v>1.1294436763672399E-2</v>
      </c>
      <c r="BX869" s="1">
        <v>2.59222995922135E-2</v>
      </c>
      <c r="BY869" s="1">
        <v>1.32798665943717E-3</v>
      </c>
      <c r="BZ869" s="1">
        <v>0.73761691011777997</v>
      </c>
      <c r="CP869" s="1">
        <v>1.53247988027536E-2</v>
      </c>
      <c r="CQ869" s="1">
        <v>2.2222026194222901</v>
      </c>
      <c r="CY869" s="1">
        <v>2.0377762834336201E-3</v>
      </c>
      <c r="CZ869" s="1">
        <v>1.2296371099771799</v>
      </c>
      <c r="DB869" s="1">
        <v>0.97330649912508405</v>
      </c>
      <c r="DC869" s="1">
        <v>2.2065560665816102E-3</v>
      </c>
      <c r="DF869" s="1">
        <v>6.0622591479714501E-2</v>
      </c>
      <c r="DN869" s="1">
        <v>0.28482784947183998</v>
      </c>
      <c r="ED869" s="1">
        <v>9.0178874444847394E-3</v>
      </c>
      <c r="EG869" s="1">
        <v>7.3637187416502603E-3</v>
      </c>
      <c r="EH869" s="1">
        <v>8.1908030930675002E-2</v>
      </c>
      <c r="ET869" s="1">
        <v>0.16872004273677901</v>
      </c>
      <c r="EX869" s="1">
        <v>0.16207978322413399</v>
      </c>
      <c r="EY869" s="1">
        <v>9.2800722163372207E-2</v>
      </c>
      <c r="FE869" s="1">
        <v>0.54212632589832199</v>
      </c>
      <c r="FJ869" s="1">
        <v>0.11796407393090901</v>
      </c>
      <c r="FM869" s="1">
        <v>1.0495879746796299</v>
      </c>
    </row>
    <row r="870" spans="1:169" x14ac:dyDescent="0.2">
      <c r="A870" s="1" t="s">
        <v>5134</v>
      </c>
      <c r="B870" s="1" t="s">
        <v>55</v>
      </c>
      <c r="C870" s="1" t="s">
        <v>5089</v>
      </c>
      <c r="D870" s="1" t="s">
        <v>2</v>
      </c>
      <c r="E870" s="1">
        <v>23</v>
      </c>
      <c r="F870" s="1" t="s">
        <v>5013</v>
      </c>
      <c r="G870" s="1" t="s">
        <v>5090</v>
      </c>
      <c r="H870" s="1" t="s">
        <v>5091</v>
      </c>
      <c r="I870" s="1" t="s">
        <v>7</v>
      </c>
      <c r="J870" s="1" t="s">
        <v>5133</v>
      </c>
      <c r="K870" s="1" t="s">
        <v>5016</v>
      </c>
      <c r="L870" s="1" t="s">
        <v>5015</v>
      </c>
      <c r="P870" s="1" t="s">
        <v>1671</v>
      </c>
      <c r="Q870" s="1">
        <v>2011</v>
      </c>
      <c r="R870" s="1" t="s">
        <v>5093</v>
      </c>
      <c r="S870" s="1" t="s">
        <v>27</v>
      </c>
      <c r="T870" s="6">
        <v>1</v>
      </c>
      <c r="V870" s="1">
        <v>15.4</v>
      </c>
      <c r="Y870" s="1">
        <v>2.5056640704452802</v>
      </c>
      <c r="Z870" s="1">
        <v>6.99430146542473</v>
      </c>
      <c r="AA870" s="1">
        <v>3.5678061845238398</v>
      </c>
      <c r="AB870" s="1">
        <v>1.1195510104178801</v>
      </c>
      <c r="AC870" s="1">
        <v>3.78772691882635E-2</v>
      </c>
      <c r="AD870" s="1">
        <v>0.92371428571428604</v>
      </c>
      <c r="AF870" s="1">
        <v>2.9330888800752399</v>
      </c>
      <c r="AG870" s="1">
        <v>0.64509466430936202</v>
      </c>
      <c r="AU870" s="1">
        <v>6.5586028489450299E-3</v>
      </c>
      <c r="AW870" s="1">
        <v>0.62002731106109599</v>
      </c>
      <c r="AY870" s="1">
        <v>3.8321707720638899E-2</v>
      </c>
      <c r="BA870" s="1">
        <v>1.5967872462000501</v>
      </c>
      <c r="BD870" s="1">
        <v>1.5969786027842599E-2</v>
      </c>
      <c r="BG870" s="1">
        <v>0.209393668660702</v>
      </c>
      <c r="BI870" s="1">
        <v>1.2575398614353099E-2</v>
      </c>
      <c r="BK870" s="1">
        <v>3.6569456194554301E-3</v>
      </c>
      <c r="BM870" s="1">
        <v>2.3734036921927602E-3</v>
      </c>
      <c r="BS870" s="1">
        <v>1.63100279539155E-2</v>
      </c>
      <c r="BX870" s="1">
        <v>3.60860872911919E-2</v>
      </c>
      <c r="BY870" s="1">
        <v>1.8396828815117499E-3</v>
      </c>
      <c r="BZ870" s="1">
        <v>1.08965832212619</v>
      </c>
      <c r="CP870" s="1">
        <v>1.7852643055919999E-2</v>
      </c>
      <c r="CQ870" s="1">
        <v>3.0744242872197001</v>
      </c>
      <c r="CY870" s="1">
        <v>1.7857836036144E-3</v>
      </c>
      <c r="CZ870" s="1">
        <v>1.5276307258759001</v>
      </c>
      <c r="DB870" s="1">
        <v>1.1953989457055301</v>
      </c>
      <c r="DC870" s="1">
        <v>6.0217997864626602E-3</v>
      </c>
      <c r="DF870" s="1">
        <v>5.47930692523051E-2</v>
      </c>
      <c r="DN870" s="1">
        <v>0.443677224317723</v>
      </c>
      <c r="ED870" s="1">
        <v>1.49974173330085E-2</v>
      </c>
      <c r="EG870" s="1">
        <v>1.0377359860754699E-2</v>
      </c>
      <c r="EH870" s="1">
        <v>0.13305765520091001</v>
      </c>
      <c r="ET870" s="1">
        <v>0.293165340236199</v>
      </c>
      <c r="EX870" s="1">
        <v>0.186420022658631</v>
      </c>
      <c r="EY870" s="1">
        <v>0.14002912881172799</v>
      </c>
      <c r="FE870" s="1">
        <v>0.76865179899089497</v>
      </c>
      <c r="FJ870" s="1">
        <v>0.18850155623011899</v>
      </c>
      <c r="FM870" s="1">
        <v>1.3993060407446301</v>
      </c>
    </row>
    <row r="871" spans="1:169" x14ac:dyDescent="0.2">
      <c r="A871" s="1" t="s">
        <v>5135</v>
      </c>
      <c r="B871" s="1" t="s">
        <v>55</v>
      </c>
      <c r="C871" s="1" t="s">
        <v>5089</v>
      </c>
      <c r="D871" s="1" t="s">
        <v>2</v>
      </c>
      <c r="E871" s="1">
        <v>23</v>
      </c>
      <c r="F871" s="1" t="s">
        <v>5013</v>
      </c>
      <c r="G871" s="1" t="s">
        <v>5090</v>
      </c>
      <c r="H871" s="1" t="s">
        <v>5091</v>
      </c>
      <c r="I871" s="1" t="s">
        <v>7</v>
      </c>
      <c r="J871" s="1" t="s">
        <v>5133</v>
      </c>
      <c r="K871" s="1" t="s">
        <v>5016</v>
      </c>
      <c r="L871" s="1" t="s">
        <v>5015</v>
      </c>
      <c r="P871" s="1" t="s">
        <v>1671</v>
      </c>
      <c r="Q871" s="1">
        <v>2011</v>
      </c>
      <c r="R871" s="1" t="s">
        <v>5093</v>
      </c>
      <c r="S871" s="1" t="s">
        <v>27</v>
      </c>
      <c r="T871" s="6">
        <v>1</v>
      </c>
      <c r="V871" s="1">
        <v>8.6999999999999993</v>
      </c>
      <c r="Y871" s="1">
        <v>1.4412888491028599</v>
      </c>
      <c r="Z871" s="1">
        <v>3.9573944862748101</v>
      </c>
      <c r="AA871" s="1">
        <v>1.84827497115055</v>
      </c>
      <c r="AB871" s="1">
        <v>0.70404566976911098</v>
      </c>
      <c r="AC871" s="1">
        <v>2.30960237026685E-2</v>
      </c>
      <c r="AD871" s="1">
        <v>0.91656321839080501</v>
      </c>
      <c r="AF871" s="1">
        <v>1.52417985553935</v>
      </c>
      <c r="AG871" s="1">
        <v>0.32927435868274801</v>
      </c>
      <c r="AU871" s="1">
        <v>3.1677975501472099E-3</v>
      </c>
      <c r="AW871" s="1">
        <v>0.33066183091926499</v>
      </c>
      <c r="AY871" s="1">
        <v>2.2429366295507999E-2</v>
      </c>
      <c r="BA871" s="1">
        <v>0.91625369365225895</v>
      </c>
      <c r="BD871" s="1">
        <v>1.0383553537739501E-2</v>
      </c>
      <c r="BG871" s="1">
        <v>0.14703994834546999</v>
      </c>
      <c r="BI871" s="1">
        <v>7.4892722596123697E-3</v>
      </c>
      <c r="BK871" s="1">
        <v>2.2105479285218599E-3</v>
      </c>
      <c r="BM871" s="1">
        <v>1.6528386143407499E-3</v>
      </c>
      <c r="BS871" s="1">
        <v>7.9598889697313907E-3</v>
      </c>
      <c r="BX871" s="1">
        <v>1.9631963509945199E-2</v>
      </c>
      <c r="BY871" s="1">
        <v>8.7253171155311999E-4</v>
      </c>
      <c r="BZ871" s="1">
        <v>0.55124173903985596</v>
      </c>
      <c r="CP871" s="1">
        <v>1.36346447339459E-2</v>
      </c>
      <c r="CQ871" s="1">
        <v>1.70759971708881</v>
      </c>
      <c r="CY871" s="1">
        <v>1.64157828722438E-3</v>
      </c>
      <c r="CZ871" s="1">
        <v>0.91684149266222104</v>
      </c>
      <c r="DB871" s="1">
        <v>0.70909893247446998</v>
      </c>
      <c r="DC871" s="1">
        <v>1.76802589838934E-3</v>
      </c>
      <c r="DF871" s="1">
        <v>4.5020752529779703E-2</v>
      </c>
      <c r="DN871" s="1">
        <v>0.19528439724868901</v>
      </c>
      <c r="ED871" s="1">
        <v>6.0557303605882897E-3</v>
      </c>
      <c r="EG871" s="1">
        <v>5.1792430715557796E-3</v>
      </c>
      <c r="EH871" s="1">
        <v>5.5059337883769897E-2</v>
      </c>
      <c r="ET871" s="1">
        <v>0.103787901702587</v>
      </c>
      <c r="EX871" s="1">
        <v>0.12793423107347099</v>
      </c>
      <c r="EY871" s="1">
        <v>6.3207030986892995E-2</v>
      </c>
      <c r="FE871" s="1">
        <v>0.38737034716065299</v>
      </c>
      <c r="FJ871" s="1">
        <v>9.4658970279399499E-2</v>
      </c>
      <c r="FM871" s="1">
        <v>0.81491702445449599</v>
      </c>
    </row>
    <row r="872" spans="1:169" x14ac:dyDescent="0.2">
      <c r="A872" s="1" t="s">
        <v>5136</v>
      </c>
      <c r="B872" s="1" t="s">
        <v>55</v>
      </c>
      <c r="C872" s="1" t="s">
        <v>5089</v>
      </c>
      <c r="D872" s="1" t="s">
        <v>2</v>
      </c>
      <c r="E872" s="1">
        <v>23</v>
      </c>
      <c r="F872" s="1" t="s">
        <v>5013</v>
      </c>
      <c r="G872" s="1" t="s">
        <v>5090</v>
      </c>
      <c r="H872" s="1" t="s">
        <v>5091</v>
      </c>
      <c r="I872" s="1" t="s">
        <v>7</v>
      </c>
      <c r="J872" s="1" t="s">
        <v>5133</v>
      </c>
      <c r="K872" s="1" t="s">
        <v>5016</v>
      </c>
      <c r="L872" s="1" t="s">
        <v>5015</v>
      </c>
      <c r="P872" s="1" t="s">
        <v>1671</v>
      </c>
      <c r="Q872" s="1">
        <v>2011</v>
      </c>
      <c r="R872" s="1" t="s">
        <v>5093</v>
      </c>
      <c r="S872" s="1" t="s">
        <v>27</v>
      </c>
      <c r="T872" s="6">
        <v>1</v>
      </c>
      <c r="V872" s="1">
        <v>13.9</v>
      </c>
      <c r="Y872" s="1">
        <v>2.3120390538451301</v>
      </c>
      <c r="Z872" s="1">
        <v>6.2651563668271004</v>
      </c>
      <c r="AA872" s="1">
        <v>3.3239222234294101</v>
      </c>
      <c r="AB872" s="1">
        <v>0.89210874529956696</v>
      </c>
      <c r="AC872" s="1">
        <v>3.2473610598795999E-2</v>
      </c>
      <c r="AD872" s="1">
        <v>0.92271223021582705</v>
      </c>
      <c r="AF872" s="1">
        <v>2.59714803080429</v>
      </c>
      <c r="AG872" s="1">
        <v>0.73606449259905804</v>
      </c>
      <c r="AU872" s="1">
        <v>5.5975914793726898E-3</v>
      </c>
      <c r="AW872" s="1">
        <v>0.57754644993248005</v>
      </c>
      <c r="AY872" s="1">
        <v>3.5434632521119898E-2</v>
      </c>
      <c r="BA872" s="1">
        <v>1.4569248569167601</v>
      </c>
      <c r="BD872" s="1">
        <v>1.43955018840297E-2</v>
      </c>
      <c r="BG872" s="1">
        <v>0.20401620576985599</v>
      </c>
      <c r="BI872" s="1">
        <v>1.26238805698413E-2</v>
      </c>
      <c r="BK872" s="1">
        <v>3.55499282926357E-3</v>
      </c>
      <c r="BM872" s="1">
        <v>1.94494194240847E-3</v>
      </c>
      <c r="BS872" s="1">
        <v>1.2801056174362601E-2</v>
      </c>
      <c r="BX872" s="1">
        <v>2.6724608738630602E-2</v>
      </c>
      <c r="BY872" s="1">
        <v>1.1480738837597901E-3</v>
      </c>
      <c r="BZ872" s="1">
        <v>0.830184981723189</v>
      </c>
      <c r="CP872" s="1">
        <v>1.5579832613347701E-2</v>
      </c>
      <c r="CQ872" s="1">
        <v>2.6588939848071802</v>
      </c>
      <c r="CY872" s="1">
        <v>1.8673018771295899E-3</v>
      </c>
      <c r="CZ872" s="1">
        <v>1.47349435021495</v>
      </c>
      <c r="DB872" s="1">
        <v>1.2084802843487701</v>
      </c>
      <c r="DC872" s="1">
        <v>4.58810225061563E-3</v>
      </c>
      <c r="DF872" s="1">
        <v>5.4577100820013998E-2</v>
      </c>
      <c r="DN872" s="1">
        <v>0.54331593432861403</v>
      </c>
      <c r="ED872" s="1">
        <v>1.5377048232733699E-2</v>
      </c>
      <c r="EG872" s="1">
        <v>9.2902999739432595E-3</v>
      </c>
      <c r="EH872" s="1">
        <v>0.13967485478066399</v>
      </c>
      <c r="ET872" s="1">
        <v>0.24678009264015299</v>
      </c>
      <c r="EX872" s="1">
        <v>0.17737151003771001</v>
      </c>
      <c r="EY872" s="1">
        <v>0.12320146598557</v>
      </c>
      <c r="FE872" s="1">
        <v>0.65814816639454898</v>
      </c>
      <c r="FJ872" s="1">
        <v>0.171468693667918</v>
      </c>
      <c r="FM872" s="1">
        <v>1.2485844573614999</v>
      </c>
    </row>
    <row r="873" spans="1:169" x14ac:dyDescent="0.2">
      <c r="A873" s="1" t="s">
        <v>5137</v>
      </c>
      <c r="B873" s="1" t="s">
        <v>55</v>
      </c>
      <c r="C873" s="1" t="s">
        <v>5089</v>
      </c>
      <c r="D873" s="1" t="s">
        <v>2</v>
      </c>
      <c r="E873" s="1">
        <v>23</v>
      </c>
      <c r="F873" s="1" t="s">
        <v>1274</v>
      </c>
      <c r="G873" s="1" t="s">
        <v>5095</v>
      </c>
      <c r="H873" s="1" t="s">
        <v>5096</v>
      </c>
      <c r="I873" s="1" t="s">
        <v>7</v>
      </c>
      <c r="J873" s="1" t="s">
        <v>5097</v>
      </c>
      <c r="K873" s="1" t="s">
        <v>1277</v>
      </c>
      <c r="L873" s="1" t="s">
        <v>1276</v>
      </c>
      <c r="P873" s="1" t="s">
        <v>1671</v>
      </c>
      <c r="Q873" s="1">
        <v>2011</v>
      </c>
      <c r="R873" s="1" t="s">
        <v>5093</v>
      </c>
      <c r="S873" s="1" t="s">
        <v>27</v>
      </c>
      <c r="T873" s="6">
        <v>1</v>
      </c>
      <c r="V873" s="1">
        <v>8.3000000000000007</v>
      </c>
      <c r="Y873" s="1">
        <v>1.4342567324947</v>
      </c>
      <c r="Z873" s="1">
        <v>3.5229601462404898</v>
      </c>
      <c r="AA873" s="1">
        <v>2.0082907040640001</v>
      </c>
      <c r="AB873" s="1">
        <v>0.61397831654413604</v>
      </c>
      <c r="AC873" s="1">
        <v>2.14141006566817E-2</v>
      </c>
      <c r="AD873" s="1">
        <v>0.915771084337349</v>
      </c>
      <c r="AF873" s="1">
        <v>1.56074633546109</v>
      </c>
      <c r="AG873" s="1">
        <v>0.45433939886533897</v>
      </c>
      <c r="AU873" s="1">
        <v>3.6518581370838499E-3</v>
      </c>
      <c r="AW873" s="1">
        <v>0.36269796935390702</v>
      </c>
      <c r="AY873" s="1">
        <v>2.34444339856823E-2</v>
      </c>
      <c r="BA873" s="1">
        <v>0.87530231571488604</v>
      </c>
      <c r="BD873" s="1">
        <v>1.10688824013259E-2</v>
      </c>
      <c r="BG873" s="1">
        <v>0.14268803856264001</v>
      </c>
      <c r="BI873" s="1">
        <v>1.01506784798901E-2</v>
      </c>
      <c r="BK873" s="1">
        <v>3.2551544120178002E-3</v>
      </c>
      <c r="BM873" s="1">
        <v>1.99740144726241E-3</v>
      </c>
      <c r="BS873" s="1">
        <v>4.3178634476981302E-3</v>
      </c>
      <c r="BX873" s="1">
        <v>1.20549286740891E-2</v>
      </c>
      <c r="BY873" s="1">
        <v>1.02032311661569E-3</v>
      </c>
      <c r="BZ873" s="1">
        <v>0.34796797251101103</v>
      </c>
      <c r="CP873" s="1">
        <v>8.3191174932994091E-3</v>
      </c>
      <c r="CQ873" s="1">
        <v>1.29835213152274</v>
      </c>
      <c r="CY873" s="1">
        <v>1.1063464920891401E-3</v>
      </c>
      <c r="CZ873" s="1">
        <v>0.933641989686123</v>
      </c>
      <c r="DB873" s="1">
        <v>0.87524088129217803</v>
      </c>
      <c r="DC873" s="1">
        <v>4.1732832922505396E-3</v>
      </c>
      <c r="DF873" s="1">
        <v>5.1384379106647698E-2</v>
      </c>
      <c r="DN873" s="1">
        <v>0.33117166756078198</v>
      </c>
      <c r="ED873" s="1">
        <v>6.7570691995082997E-3</v>
      </c>
      <c r="EG873" s="1">
        <v>6.7950302624268898E-3</v>
      </c>
      <c r="EH873" s="1">
        <v>8.6247534951027299E-2</v>
      </c>
      <c r="ET873" s="1">
        <v>0.123254778016372</v>
      </c>
      <c r="EX873" s="1">
        <v>0.116410662105049</v>
      </c>
      <c r="EY873" s="1">
        <v>0.10341261502652201</v>
      </c>
      <c r="FE873" s="1">
        <v>0.36502070889856503</v>
      </c>
      <c r="FJ873" s="1">
        <v>0.14527415509238201</v>
      </c>
      <c r="FM873" s="1">
        <v>0.73074151321379199</v>
      </c>
    </row>
    <row r="874" spans="1:169" x14ac:dyDescent="0.2">
      <c r="A874" s="1" t="s">
        <v>5138</v>
      </c>
      <c r="B874" s="1" t="s">
        <v>55</v>
      </c>
      <c r="C874" s="1" t="s">
        <v>5089</v>
      </c>
      <c r="D874" s="1" t="s">
        <v>2</v>
      </c>
      <c r="E874" s="1">
        <v>23</v>
      </c>
      <c r="F874" s="1" t="s">
        <v>1274</v>
      </c>
      <c r="G874" s="1" t="s">
        <v>5095</v>
      </c>
      <c r="H874" s="1" t="s">
        <v>5096</v>
      </c>
      <c r="I874" s="1" t="s">
        <v>7</v>
      </c>
      <c r="J874" s="1" t="s">
        <v>5097</v>
      </c>
      <c r="K874" s="1" t="s">
        <v>1277</v>
      </c>
      <c r="L874" s="1" t="s">
        <v>1276</v>
      </c>
      <c r="P874" s="1" t="s">
        <v>1671</v>
      </c>
      <c r="Q874" s="1">
        <v>2011</v>
      </c>
      <c r="R874" s="1" t="s">
        <v>5093</v>
      </c>
      <c r="S874" s="1" t="s">
        <v>27</v>
      </c>
      <c r="T874" s="6">
        <v>1</v>
      </c>
      <c r="V874" s="1">
        <v>14.9</v>
      </c>
      <c r="Y874" s="1">
        <v>3.0112956050610702</v>
      </c>
      <c r="Z874" s="1">
        <v>6.5474023364034704</v>
      </c>
      <c r="AA874" s="1">
        <v>3.1600220597223099</v>
      </c>
      <c r="AB874" s="1">
        <v>0.99844569799735805</v>
      </c>
      <c r="AC874" s="1">
        <v>4.1534300815801901E-2</v>
      </c>
      <c r="AD874" s="1">
        <v>0.92340268456375796</v>
      </c>
      <c r="AF874" s="1">
        <v>2.5111302598846099</v>
      </c>
      <c r="AG874" s="1">
        <v>0.664012239707089</v>
      </c>
      <c r="AU874" s="1">
        <v>7.8261684630466493E-3</v>
      </c>
      <c r="AW874" s="1">
        <v>0.73758560780583804</v>
      </c>
      <c r="AY874" s="1">
        <v>4.6723130395110599E-2</v>
      </c>
      <c r="BA874" s="1">
        <v>1.82785334309522</v>
      </c>
      <c r="BD874" s="1">
        <v>2.4890403838139799E-2</v>
      </c>
      <c r="BG874" s="1">
        <v>0.33550892573466601</v>
      </c>
      <c r="BI874" s="1">
        <v>2.0174355386292499E-2</v>
      </c>
      <c r="BK874" s="1">
        <v>7.4882408545296599E-3</v>
      </c>
      <c r="BM874" s="1">
        <v>3.2454294882245101E-3</v>
      </c>
      <c r="BS874" s="1">
        <v>9.1998177187172896E-3</v>
      </c>
      <c r="BX874" s="1">
        <v>2.3946684189969099E-2</v>
      </c>
      <c r="BY874" s="1">
        <v>1.4596074172933599E-3</v>
      </c>
      <c r="BZ874" s="1">
        <v>0.67287901937223804</v>
      </c>
      <c r="CP874" s="1">
        <v>1.6506225168598201E-2</v>
      </c>
      <c r="CQ874" s="1">
        <v>2.51770369509138</v>
      </c>
      <c r="CY874" s="1">
        <v>2.48656059128099E-3</v>
      </c>
      <c r="CZ874" s="1">
        <v>1.6464714907748701</v>
      </c>
      <c r="DB874" s="1">
        <v>1.5874603049698901</v>
      </c>
      <c r="DC874" s="1">
        <v>5.9614677692386301E-3</v>
      </c>
      <c r="DF874" s="1">
        <v>8.9741324286411406E-2</v>
      </c>
      <c r="DN874" s="1">
        <v>0.44739726250828199</v>
      </c>
      <c r="ED874" s="1">
        <v>9.2097224659016593E-3</v>
      </c>
      <c r="EG874" s="1">
        <v>1.51204398693908E-2</v>
      </c>
      <c r="EH874" s="1">
        <v>0.13296823182112699</v>
      </c>
      <c r="ET874" s="1">
        <v>0.18307709510319201</v>
      </c>
      <c r="EX874" s="1">
        <v>0.207405254732905</v>
      </c>
      <c r="EY874" s="1">
        <v>0.17883412270337201</v>
      </c>
      <c r="FE874" s="1">
        <v>0.57167031361818399</v>
      </c>
      <c r="FJ874" s="1">
        <v>0.27807271829089802</v>
      </c>
      <c r="FM874" s="1">
        <v>1.1513873384784401</v>
      </c>
    </row>
    <row r="875" spans="1:169" x14ac:dyDescent="0.2">
      <c r="A875" s="1" t="s">
        <v>5139</v>
      </c>
      <c r="B875" s="1" t="s">
        <v>55</v>
      </c>
      <c r="C875" s="1" t="s">
        <v>5089</v>
      </c>
      <c r="D875" s="1" t="s">
        <v>2</v>
      </c>
      <c r="E875" s="1">
        <v>23</v>
      </c>
      <c r="F875" s="1" t="s">
        <v>1274</v>
      </c>
      <c r="G875" s="1" t="s">
        <v>5095</v>
      </c>
      <c r="H875" s="1" t="s">
        <v>5096</v>
      </c>
      <c r="I875" s="1" t="s">
        <v>7</v>
      </c>
      <c r="J875" s="1" t="s">
        <v>5097</v>
      </c>
      <c r="K875" s="1" t="s">
        <v>1277</v>
      </c>
      <c r="L875" s="1" t="s">
        <v>1276</v>
      </c>
      <c r="P875" s="1" t="s">
        <v>1671</v>
      </c>
      <c r="Q875" s="1">
        <v>2011</v>
      </c>
      <c r="R875" s="1" t="s">
        <v>5093</v>
      </c>
      <c r="S875" s="1" t="s">
        <v>27</v>
      </c>
      <c r="T875" s="6">
        <v>1</v>
      </c>
      <c r="V875" s="1">
        <v>12</v>
      </c>
      <c r="Y875" s="1">
        <v>2.50363199538607</v>
      </c>
      <c r="Z875" s="1">
        <v>4.8078242939039901</v>
      </c>
      <c r="AA875" s="1">
        <v>2.79955051563977</v>
      </c>
      <c r="AB875" s="1">
        <v>0.90881098942272698</v>
      </c>
      <c r="AC875" s="1">
        <v>3.3182205647444001E-2</v>
      </c>
      <c r="AD875" s="1">
        <v>0.92108333333333303</v>
      </c>
      <c r="AF875" s="1">
        <v>2.2233036290863</v>
      </c>
      <c r="AG875" s="1">
        <v>0.58729548675815701</v>
      </c>
      <c r="AU875" s="1">
        <v>5.42098489718043E-3</v>
      </c>
      <c r="AW875" s="1">
        <v>0.57709477064492498</v>
      </c>
      <c r="AY875" s="1">
        <v>4.27695169155295E-2</v>
      </c>
      <c r="BA875" s="1">
        <v>1.5377238402178901</v>
      </c>
      <c r="BD875" s="1">
        <v>2.75728273266274E-2</v>
      </c>
      <c r="BG875" s="1">
        <v>0.28635037832035298</v>
      </c>
      <c r="BI875" s="1">
        <v>1.55439661317957E-2</v>
      </c>
      <c r="BK875" s="1">
        <v>6.6853521680093099E-3</v>
      </c>
      <c r="BM875" s="1">
        <v>4.4703587637611904E-3</v>
      </c>
      <c r="BS875" s="1">
        <v>5.4621225274590398E-3</v>
      </c>
      <c r="BX875" s="1">
        <v>2.1989954369175502E-2</v>
      </c>
      <c r="BY875" s="1">
        <v>2.1989954369175499E-3</v>
      </c>
      <c r="BZ875" s="1">
        <v>0.47938100524802602</v>
      </c>
      <c r="CP875" s="1">
        <v>1.32627859231862E-2</v>
      </c>
      <c r="CQ875" s="1">
        <v>2.0822573899402399</v>
      </c>
      <c r="CY875" s="1">
        <v>3.3299275950274499E-3</v>
      </c>
      <c r="CZ875" s="1">
        <v>1.07445663732886</v>
      </c>
      <c r="DB875" s="1">
        <v>1.06717894504893</v>
      </c>
      <c r="DC875" s="1">
        <v>3.3418964876271301E-3</v>
      </c>
      <c r="DF875" s="1">
        <v>7.7098239441309793E-2</v>
      </c>
      <c r="DM875" s="1">
        <v>1.1048600204685699E-2</v>
      </c>
      <c r="DN875" s="1">
        <v>0.40437876749149598</v>
      </c>
      <c r="ED875" s="1">
        <v>7.7313756423108299E-3</v>
      </c>
      <c r="EH875" s="1">
        <v>0.13253786815390001</v>
      </c>
      <c r="ET875" s="1">
        <v>0.143532902126285</v>
      </c>
      <c r="EX875" s="1">
        <v>0.164136743419664</v>
      </c>
      <c r="EY875" s="1">
        <v>0.15304642291833601</v>
      </c>
      <c r="FE875" s="1">
        <v>0.46565791771173698</v>
      </c>
      <c r="FJ875" s="1">
        <v>0.25151402508770199</v>
      </c>
      <c r="FM875" s="1">
        <v>1.0770144930883401</v>
      </c>
    </row>
    <row r="876" spans="1:169" x14ac:dyDescent="0.2">
      <c r="A876" s="1" t="s">
        <v>5140</v>
      </c>
      <c r="B876" s="1" t="s">
        <v>55</v>
      </c>
      <c r="C876" s="1" t="s">
        <v>5089</v>
      </c>
      <c r="D876" s="1" t="s">
        <v>2</v>
      </c>
      <c r="E876" s="1">
        <v>23</v>
      </c>
      <c r="F876" s="1" t="s">
        <v>1274</v>
      </c>
      <c r="G876" s="1" t="s">
        <v>5095</v>
      </c>
      <c r="H876" s="1" t="s">
        <v>5096</v>
      </c>
      <c r="I876" s="1" t="s">
        <v>7</v>
      </c>
      <c r="J876" s="1" t="s">
        <v>5097</v>
      </c>
      <c r="K876" s="1" t="s">
        <v>1277</v>
      </c>
      <c r="L876" s="1" t="s">
        <v>1276</v>
      </c>
      <c r="Q876" s="1">
        <v>2011</v>
      </c>
      <c r="R876" s="1" t="s">
        <v>5093</v>
      </c>
      <c r="S876" s="1" t="s">
        <v>27</v>
      </c>
      <c r="T876" s="6">
        <v>1</v>
      </c>
    </row>
    <row r="877" spans="1:169" x14ac:dyDescent="0.2">
      <c r="A877" s="1" t="s">
        <v>5141</v>
      </c>
      <c r="B877" s="1" t="s">
        <v>55</v>
      </c>
      <c r="C877" s="1" t="s">
        <v>5089</v>
      </c>
      <c r="D877" s="1" t="s">
        <v>2</v>
      </c>
      <c r="E877" s="1">
        <v>23</v>
      </c>
      <c r="F877" s="1" t="s">
        <v>1274</v>
      </c>
      <c r="G877" s="1" t="s">
        <v>5095</v>
      </c>
      <c r="H877" s="1" t="s">
        <v>5096</v>
      </c>
      <c r="I877" s="1" t="s">
        <v>7</v>
      </c>
      <c r="J877" s="1" t="s">
        <v>5097</v>
      </c>
      <c r="K877" s="1" t="s">
        <v>1277</v>
      </c>
      <c r="L877" s="1" t="s">
        <v>1276</v>
      </c>
      <c r="Q877" s="1">
        <v>2011</v>
      </c>
      <c r="R877" s="1" t="s">
        <v>5093</v>
      </c>
      <c r="S877" s="1" t="s">
        <v>27</v>
      </c>
      <c r="T877" s="6">
        <v>1</v>
      </c>
    </row>
    <row r="878" spans="1:169" x14ac:dyDescent="0.2">
      <c r="A878" s="1" t="s">
        <v>5142</v>
      </c>
      <c r="B878" s="1" t="s">
        <v>55</v>
      </c>
      <c r="C878" s="1" t="s">
        <v>5089</v>
      </c>
      <c r="D878" s="1" t="s">
        <v>2</v>
      </c>
      <c r="E878" s="1">
        <v>23</v>
      </c>
      <c r="F878" s="1" t="s">
        <v>5013</v>
      </c>
      <c r="G878" s="1" t="s">
        <v>5090</v>
      </c>
      <c r="H878" s="1" t="s">
        <v>5091</v>
      </c>
      <c r="I878" s="1" t="s">
        <v>7</v>
      </c>
      <c r="J878" s="1" t="s">
        <v>5133</v>
      </c>
      <c r="K878" s="1" t="s">
        <v>5016</v>
      </c>
      <c r="L878" s="1" t="s">
        <v>5015</v>
      </c>
      <c r="Q878" s="1">
        <v>2011</v>
      </c>
      <c r="R878" s="1" t="s">
        <v>5093</v>
      </c>
      <c r="S878" s="1" t="s">
        <v>27</v>
      </c>
      <c r="T878" s="6">
        <v>1</v>
      </c>
    </row>
    <row r="879" spans="1:169" x14ac:dyDescent="0.2">
      <c r="A879" s="1" t="s">
        <v>5143</v>
      </c>
      <c r="B879" s="1" t="s">
        <v>55</v>
      </c>
      <c r="C879" s="1" t="s">
        <v>5089</v>
      </c>
      <c r="D879" s="1" t="s">
        <v>2</v>
      </c>
      <c r="E879" s="1">
        <v>23</v>
      </c>
      <c r="F879" s="1" t="s">
        <v>1274</v>
      </c>
      <c r="G879" s="1" t="s">
        <v>5095</v>
      </c>
      <c r="H879" s="1" t="s">
        <v>5096</v>
      </c>
      <c r="I879" s="1" t="s">
        <v>7</v>
      </c>
      <c r="J879" s="1" t="s">
        <v>5097</v>
      </c>
      <c r="K879" s="1" t="s">
        <v>1277</v>
      </c>
      <c r="L879" s="1" t="s">
        <v>1276</v>
      </c>
      <c r="Q879" s="1">
        <v>2011</v>
      </c>
      <c r="R879" s="1" t="s">
        <v>5093</v>
      </c>
      <c r="S879" s="1" t="s">
        <v>27</v>
      </c>
      <c r="T879" s="6">
        <v>1</v>
      </c>
    </row>
    <row r="880" spans="1:169" x14ac:dyDescent="0.2">
      <c r="A880" s="1" t="s">
        <v>5144</v>
      </c>
      <c r="B880" s="1" t="s">
        <v>55</v>
      </c>
      <c r="C880" s="1" t="s">
        <v>5145</v>
      </c>
      <c r="E880" s="1">
        <v>11</v>
      </c>
      <c r="F880" s="1" t="s">
        <v>2132</v>
      </c>
      <c r="G880" s="1" t="s">
        <v>5146</v>
      </c>
      <c r="H880" s="1" t="s">
        <v>5147</v>
      </c>
      <c r="I880" s="1" t="s">
        <v>7</v>
      </c>
      <c r="J880" s="1" t="s">
        <v>2135</v>
      </c>
      <c r="K880" s="1" t="s">
        <v>2136</v>
      </c>
      <c r="L880" s="1" t="s">
        <v>2135</v>
      </c>
      <c r="M880" s="1" t="s">
        <v>5148</v>
      </c>
      <c r="N880" s="1" t="s">
        <v>5149</v>
      </c>
      <c r="P880" s="1" t="s">
        <v>5150</v>
      </c>
      <c r="Q880" s="1">
        <v>2002</v>
      </c>
      <c r="R880" s="1" t="s">
        <v>5151</v>
      </c>
      <c r="S880" s="1" t="s">
        <v>27</v>
      </c>
      <c r="T880" s="6">
        <v>1</v>
      </c>
    </row>
    <row r="881" spans="1:177" x14ac:dyDescent="0.2">
      <c r="A881" s="1" t="s">
        <v>5152</v>
      </c>
      <c r="B881" s="1" t="s">
        <v>55</v>
      </c>
      <c r="C881" s="1" t="s">
        <v>5145</v>
      </c>
      <c r="E881" s="1">
        <v>11</v>
      </c>
      <c r="F881" s="1" t="s">
        <v>2124</v>
      </c>
      <c r="G881" s="1" t="s">
        <v>5153</v>
      </c>
      <c r="H881" s="1" t="s">
        <v>5154</v>
      </c>
      <c r="I881" s="1" t="s">
        <v>7</v>
      </c>
      <c r="J881" s="1" t="s">
        <v>2165</v>
      </c>
      <c r="K881" s="1" t="s">
        <v>2128</v>
      </c>
      <c r="L881" s="1" t="s">
        <v>2165</v>
      </c>
      <c r="M881" s="1" t="s">
        <v>5148</v>
      </c>
      <c r="N881" s="1" t="s">
        <v>5149</v>
      </c>
      <c r="P881" s="1" t="s">
        <v>5150</v>
      </c>
      <c r="Q881" s="1">
        <v>2002</v>
      </c>
      <c r="R881" s="1" t="s">
        <v>5151</v>
      </c>
      <c r="S881" s="1" t="s">
        <v>27</v>
      </c>
      <c r="T881" s="6">
        <v>1</v>
      </c>
    </row>
    <row r="882" spans="1:177" s="12" customFormat="1" x14ac:dyDescent="0.2">
      <c r="A882" s="11" t="s">
        <v>6532</v>
      </c>
      <c r="B882" s="12" t="s">
        <v>1912</v>
      </c>
      <c r="C882" s="12" t="s">
        <v>6195</v>
      </c>
      <c r="H882" s="12" t="s">
        <v>6380</v>
      </c>
      <c r="I882" s="12" t="s">
        <v>11</v>
      </c>
      <c r="M882" s="12" t="s">
        <v>6198</v>
      </c>
      <c r="P882" s="12" t="s">
        <v>6199</v>
      </c>
      <c r="Q882" s="12">
        <v>1989</v>
      </c>
      <c r="R882" s="12" t="s">
        <v>6200</v>
      </c>
      <c r="S882" s="12" t="s">
        <v>6201</v>
      </c>
      <c r="T882" s="14" t="str">
        <f>"1.1"</f>
        <v>1.1</v>
      </c>
      <c r="Z882" s="12">
        <v>51</v>
      </c>
      <c r="AY882" s="14">
        <v>3292</v>
      </c>
      <c r="BH882" s="12">
        <v>304</v>
      </c>
      <c r="BJ882" s="13">
        <v>259</v>
      </c>
      <c r="BM882" s="12">
        <v>578</v>
      </c>
      <c r="BP882" s="12">
        <v>553</v>
      </c>
    </row>
    <row r="883" spans="1:177" s="12" customFormat="1" x14ac:dyDescent="0.2">
      <c r="A883" s="11" t="s">
        <v>6533</v>
      </c>
      <c r="B883" s="12" t="s">
        <v>55</v>
      </c>
      <c r="C883" s="12" t="s">
        <v>6195</v>
      </c>
      <c r="H883" s="12" t="s">
        <v>6381</v>
      </c>
      <c r="I883" s="12" t="s">
        <v>11</v>
      </c>
      <c r="J883" s="12" t="s">
        <v>6382</v>
      </c>
      <c r="M883" s="12" t="s">
        <v>6198</v>
      </c>
      <c r="P883" s="12" t="s">
        <v>6199</v>
      </c>
      <c r="Q883" s="12">
        <v>1989</v>
      </c>
      <c r="R883" s="12" t="s">
        <v>6200</v>
      </c>
      <c r="S883" s="12" t="s">
        <v>6201</v>
      </c>
      <c r="T883" s="14" t="str">
        <f t="shared" ref="T883:T888" si="4">"1.1"</f>
        <v>1.1</v>
      </c>
      <c r="Z883" s="12">
        <v>9</v>
      </c>
      <c r="AY883" s="14">
        <v>1565</v>
      </c>
      <c r="BD883" s="12">
        <v>0.1</v>
      </c>
      <c r="BH883" s="12">
        <v>1274</v>
      </c>
      <c r="BJ883" s="13">
        <v>172</v>
      </c>
      <c r="BK883" s="12">
        <v>1.23</v>
      </c>
      <c r="BM883" s="12">
        <v>364</v>
      </c>
      <c r="BP883" s="12">
        <v>1278</v>
      </c>
      <c r="BW883" s="12">
        <v>3.2</v>
      </c>
    </row>
    <row r="884" spans="1:177" s="12" customFormat="1" x14ac:dyDescent="0.2">
      <c r="A884" s="11" t="s">
        <v>6534</v>
      </c>
      <c r="B884" s="12" t="s">
        <v>55</v>
      </c>
      <c r="C884" s="12" t="s">
        <v>6195</v>
      </c>
      <c r="H884" s="12" t="s">
        <v>6383</v>
      </c>
      <c r="I884" s="12" t="s">
        <v>11</v>
      </c>
      <c r="J884" s="12" t="s">
        <v>6382</v>
      </c>
      <c r="M884" s="12" t="s">
        <v>6198</v>
      </c>
      <c r="P884" s="12" t="s">
        <v>6199</v>
      </c>
      <c r="Q884" s="12">
        <v>1989</v>
      </c>
      <c r="R884" s="12" t="s">
        <v>6200</v>
      </c>
      <c r="S884" s="12" t="s">
        <v>6201</v>
      </c>
      <c r="T884" s="14" t="str">
        <f t="shared" si="4"/>
        <v>1.1</v>
      </c>
      <c r="Z884" s="12">
        <v>6</v>
      </c>
      <c r="AY884" s="14">
        <v>1664</v>
      </c>
      <c r="BD884" s="12">
        <v>0.6</v>
      </c>
      <c r="BH884" s="12">
        <v>1184</v>
      </c>
      <c r="BJ884" s="13">
        <v>161</v>
      </c>
      <c r="BK884" s="12">
        <v>2.79</v>
      </c>
      <c r="BM884" s="12">
        <v>263</v>
      </c>
      <c r="BP884" s="12">
        <v>1369</v>
      </c>
      <c r="BW884" s="12">
        <v>3.7</v>
      </c>
    </row>
    <row r="885" spans="1:177" s="12" customFormat="1" x14ac:dyDescent="0.2">
      <c r="A885" s="11" t="s">
        <v>6535</v>
      </c>
      <c r="B885" s="12" t="s">
        <v>55</v>
      </c>
      <c r="C885" s="12" t="s">
        <v>6195</v>
      </c>
      <c r="H885" s="12" t="s">
        <v>6384</v>
      </c>
      <c r="I885" s="12" t="s">
        <v>11</v>
      </c>
      <c r="J885" s="12" t="s">
        <v>1212</v>
      </c>
      <c r="M885" s="12" t="s">
        <v>6198</v>
      </c>
      <c r="P885" s="12" t="s">
        <v>6199</v>
      </c>
      <c r="Q885" s="12">
        <v>1989</v>
      </c>
      <c r="R885" s="12" t="s">
        <v>6200</v>
      </c>
      <c r="S885" s="12" t="s">
        <v>6201</v>
      </c>
      <c r="T885" s="14" t="str">
        <f t="shared" si="4"/>
        <v>1.1</v>
      </c>
      <c r="Z885" s="12">
        <v>14</v>
      </c>
      <c r="AY885" s="14">
        <v>929</v>
      </c>
      <c r="BD885" s="12">
        <v>0.1</v>
      </c>
      <c r="BH885" s="12">
        <v>1273</v>
      </c>
      <c r="BJ885" s="13">
        <v>139</v>
      </c>
      <c r="BK885" s="12">
        <v>3.08</v>
      </c>
      <c r="BM885" s="12">
        <v>258</v>
      </c>
      <c r="BP885" s="12">
        <v>1016</v>
      </c>
      <c r="BW885" s="12">
        <v>5.8</v>
      </c>
    </row>
    <row r="886" spans="1:177" s="12" customFormat="1" x14ac:dyDescent="0.2">
      <c r="A886" s="11" t="s">
        <v>6536</v>
      </c>
      <c r="B886" s="12" t="s">
        <v>55</v>
      </c>
      <c r="C886" s="12" t="s">
        <v>6195</v>
      </c>
      <c r="H886" s="12" t="s">
        <v>6385</v>
      </c>
      <c r="I886" s="12" t="s">
        <v>11</v>
      </c>
      <c r="J886" s="12" t="s">
        <v>1212</v>
      </c>
      <c r="M886" s="12" t="s">
        <v>6198</v>
      </c>
      <c r="P886" s="12" t="s">
        <v>6199</v>
      </c>
      <c r="Q886" s="12">
        <v>1989</v>
      </c>
      <c r="R886" s="12" t="s">
        <v>6200</v>
      </c>
      <c r="S886" s="12" t="s">
        <v>6201</v>
      </c>
      <c r="T886" s="14" t="str">
        <f t="shared" si="4"/>
        <v>1.1</v>
      </c>
      <c r="Z886" s="12">
        <v>17</v>
      </c>
      <c r="AY886" s="14">
        <v>1145</v>
      </c>
      <c r="BD886" s="12">
        <v>0.2</v>
      </c>
      <c r="BH886" s="12">
        <v>1328</v>
      </c>
      <c r="BJ886" s="13">
        <v>143</v>
      </c>
      <c r="BK886" s="12">
        <v>3.4</v>
      </c>
      <c r="BM886" s="12">
        <v>340</v>
      </c>
      <c r="BP886" s="12">
        <v>1345</v>
      </c>
      <c r="BW886" s="12">
        <v>5.5</v>
      </c>
    </row>
    <row r="887" spans="1:177" s="12" customFormat="1" x14ac:dyDescent="0.2">
      <c r="A887" s="11" t="s">
        <v>6537</v>
      </c>
      <c r="B887" s="12" t="s">
        <v>55</v>
      </c>
      <c r="C887" s="12" t="s">
        <v>6195</v>
      </c>
      <c r="H887" s="12" t="s">
        <v>6386</v>
      </c>
      <c r="I887" s="12" t="s">
        <v>11</v>
      </c>
      <c r="J887" s="12" t="s">
        <v>6387</v>
      </c>
      <c r="M887" s="12" t="s">
        <v>6198</v>
      </c>
      <c r="P887" s="12" t="s">
        <v>6199</v>
      </c>
      <c r="Q887" s="12">
        <v>1989</v>
      </c>
      <c r="R887" s="12" t="s">
        <v>6200</v>
      </c>
      <c r="S887" s="12" t="s">
        <v>6201</v>
      </c>
      <c r="T887" s="14" t="str">
        <f t="shared" si="4"/>
        <v>1.1</v>
      </c>
      <c r="Z887" s="12">
        <v>8</v>
      </c>
      <c r="AY887" s="14">
        <v>2263</v>
      </c>
      <c r="BD887" s="12">
        <v>0.3</v>
      </c>
      <c r="BH887" s="12">
        <v>1205</v>
      </c>
      <c r="BJ887" s="13">
        <v>172</v>
      </c>
      <c r="BK887" s="12">
        <v>2.4900000000000002</v>
      </c>
      <c r="BM887" s="12">
        <v>359</v>
      </c>
      <c r="BP887" s="12">
        <v>1702</v>
      </c>
      <c r="BW887" s="12">
        <v>11.6</v>
      </c>
    </row>
    <row r="888" spans="1:177" s="12" customFormat="1" x14ac:dyDescent="0.2">
      <c r="A888" s="11" t="s">
        <v>6538</v>
      </c>
      <c r="B888" s="12" t="s">
        <v>55</v>
      </c>
      <c r="C888" s="12" t="s">
        <v>6195</v>
      </c>
      <c r="H888" s="12" t="s">
        <v>6388</v>
      </c>
      <c r="I888" s="12" t="s">
        <v>11</v>
      </c>
      <c r="J888" s="12" t="s">
        <v>6389</v>
      </c>
      <c r="M888" s="12" t="s">
        <v>6198</v>
      </c>
      <c r="P888" s="12" t="s">
        <v>6199</v>
      </c>
      <c r="Q888" s="12">
        <v>1989</v>
      </c>
      <c r="R888" s="12" t="s">
        <v>6200</v>
      </c>
      <c r="S888" s="12" t="s">
        <v>6201</v>
      </c>
      <c r="T888" s="14" t="str">
        <f t="shared" si="4"/>
        <v>1.1</v>
      </c>
      <c r="Z888" s="12">
        <v>13</v>
      </c>
      <c r="AY888" s="14">
        <v>1453</v>
      </c>
      <c r="BD888" s="12">
        <v>0.4</v>
      </c>
      <c r="BH888" s="12">
        <v>1235</v>
      </c>
      <c r="BJ888" s="13">
        <v>155</v>
      </c>
      <c r="BK888" s="12">
        <v>0.97</v>
      </c>
      <c r="BM888" s="12">
        <v>235</v>
      </c>
      <c r="BP888" s="12">
        <v>1630</v>
      </c>
      <c r="BW888" s="12">
        <v>25.4</v>
      </c>
    </row>
    <row r="889" spans="1:177" s="12" customFormat="1" ht="15" x14ac:dyDescent="0.25">
      <c r="A889" s="41" t="str">
        <f>"0902331"</f>
        <v>0902331</v>
      </c>
      <c r="B889" s="12" t="s">
        <v>55</v>
      </c>
      <c r="C889" s="12" t="s">
        <v>6547</v>
      </c>
      <c r="D889" s="12" t="s">
        <v>2</v>
      </c>
      <c r="E889" s="12">
        <v>11</v>
      </c>
      <c r="F889" s="12" t="s">
        <v>2139</v>
      </c>
      <c r="G889" s="12" t="s">
        <v>2143</v>
      </c>
      <c r="H889" s="12" t="s">
        <v>6564</v>
      </c>
      <c r="I889" s="12" t="s">
        <v>7</v>
      </c>
      <c r="J889" s="12" t="s">
        <v>2142</v>
      </c>
      <c r="K889" s="42" t="s">
        <v>2143</v>
      </c>
      <c r="L889" s="12" t="s">
        <v>2142</v>
      </c>
      <c r="M889" s="12" t="s">
        <v>6586</v>
      </c>
      <c r="N889" s="12" t="s">
        <v>6591</v>
      </c>
      <c r="Q889" s="12">
        <v>2015</v>
      </c>
      <c r="R889" s="12" t="str">
        <f>"fi367"</f>
        <v>fi367</v>
      </c>
      <c r="S889" s="12" t="s">
        <v>27</v>
      </c>
      <c r="T889" s="14" t="str">
        <f t="shared" ref="T889:T903" si="5">"1.1"</f>
        <v>1.1</v>
      </c>
      <c r="U889" s="12">
        <v>84.1</v>
      </c>
      <c r="AF889" s="34"/>
      <c r="AG889" s="34"/>
      <c r="AU889" s="36"/>
      <c r="AV889" s="36"/>
      <c r="AW889" s="36"/>
      <c r="AX889" s="36"/>
      <c r="AY889" s="36"/>
      <c r="BA889" s="34"/>
      <c r="BD889" s="34"/>
      <c r="BG889" s="34"/>
      <c r="BI889" s="34"/>
      <c r="BK889" s="36"/>
      <c r="BM889" s="36"/>
      <c r="BS889" s="34"/>
      <c r="BV889" s="36"/>
      <c r="CA889" s="34"/>
      <c r="CF889" s="36"/>
      <c r="CK889" s="34"/>
      <c r="CM889" s="34"/>
      <c r="CN889" s="14"/>
      <c r="CV889" s="36"/>
      <c r="DB889" s="36"/>
      <c r="DN889" s="34"/>
      <c r="DT889" s="36"/>
      <c r="ED889" s="36"/>
      <c r="EH889" s="34"/>
      <c r="EK889" s="34"/>
      <c r="EL889" s="36"/>
      <c r="ET889" s="34"/>
      <c r="EX889" s="34"/>
      <c r="EY889" s="34"/>
      <c r="FA889" s="34"/>
      <c r="FE889" s="34"/>
      <c r="FJ889" s="34"/>
      <c r="FM889" s="34"/>
      <c r="FT889" s="14"/>
      <c r="FU889" s="14"/>
    </row>
    <row r="890" spans="1:177" s="34" customFormat="1" ht="15" x14ac:dyDescent="0.25">
      <c r="A890" s="41" t="str">
        <f>"0902332"</f>
        <v>0902332</v>
      </c>
      <c r="B890" s="34" t="s">
        <v>55</v>
      </c>
      <c r="C890" s="12" t="s">
        <v>6547</v>
      </c>
      <c r="D890" s="34" t="s">
        <v>2</v>
      </c>
      <c r="E890" s="12">
        <v>11</v>
      </c>
      <c r="F890" s="12" t="s">
        <v>2132</v>
      </c>
      <c r="G890" s="34" t="s">
        <v>5146</v>
      </c>
      <c r="H890" s="34" t="s">
        <v>6565</v>
      </c>
      <c r="I890" s="34" t="s">
        <v>7</v>
      </c>
      <c r="J890" s="34" t="s">
        <v>2135</v>
      </c>
      <c r="K890" s="40" t="s">
        <v>2136</v>
      </c>
      <c r="L890" s="34" t="s">
        <v>2135</v>
      </c>
      <c r="M890" s="34" t="s">
        <v>6586</v>
      </c>
      <c r="N890" s="34" t="s">
        <v>6591</v>
      </c>
      <c r="Q890" s="34">
        <v>2015</v>
      </c>
      <c r="R890" s="34" t="str">
        <f t="shared" ref="R890:R899" si="6">"fi367"</f>
        <v>fi367</v>
      </c>
      <c r="S890" s="34" t="s">
        <v>27</v>
      </c>
      <c r="T890" s="14" t="str">
        <f t="shared" si="5"/>
        <v>1.1</v>
      </c>
      <c r="U890" s="34">
        <v>78.900000000000006</v>
      </c>
      <c r="AU890" s="36"/>
      <c r="AV890" s="36"/>
      <c r="AW890" s="36"/>
      <c r="AX890" s="36"/>
      <c r="AY890" s="36"/>
      <c r="BK890" s="36"/>
      <c r="BM890" s="36"/>
      <c r="BV890" s="36"/>
      <c r="CF890" s="36"/>
      <c r="CN890" s="14"/>
      <c r="CV890" s="36"/>
      <c r="DB890" s="36"/>
      <c r="DT890" s="36"/>
      <c r="ED890" s="36"/>
      <c r="EL890" s="36"/>
      <c r="FT890" s="14"/>
      <c r="FU890" s="14"/>
    </row>
    <row r="891" spans="1:177" s="34" customFormat="1" ht="15" x14ac:dyDescent="0.25">
      <c r="A891" s="41" t="str">
        <f>"0902333"</f>
        <v>0902333</v>
      </c>
      <c r="B891" s="34" t="s">
        <v>55</v>
      </c>
      <c r="C891" s="12" t="s">
        <v>6547</v>
      </c>
      <c r="D891" s="34" t="s">
        <v>2</v>
      </c>
      <c r="E891" s="12">
        <v>11</v>
      </c>
      <c r="F891" s="12" t="s">
        <v>2124</v>
      </c>
      <c r="G891" s="34" t="s">
        <v>5153</v>
      </c>
      <c r="H891" s="34" t="s">
        <v>6566</v>
      </c>
      <c r="I891" s="34" t="s">
        <v>7</v>
      </c>
      <c r="J891" s="34" t="s">
        <v>2165</v>
      </c>
      <c r="K891" s="40" t="s">
        <v>2128</v>
      </c>
      <c r="L891" s="34" t="s">
        <v>2165</v>
      </c>
      <c r="M891" s="34" t="s">
        <v>6586</v>
      </c>
      <c r="N891" s="34" t="s">
        <v>6592</v>
      </c>
      <c r="Q891" s="34">
        <v>2015</v>
      </c>
      <c r="R891" s="34" t="str">
        <f t="shared" si="6"/>
        <v>fi367</v>
      </c>
      <c r="S891" s="34" t="s">
        <v>27</v>
      </c>
      <c r="T891" s="14" t="str">
        <f t="shared" si="5"/>
        <v>1.1</v>
      </c>
      <c r="U891" s="34">
        <v>77.7</v>
      </c>
      <c r="AU891" s="36"/>
      <c r="AV891" s="36"/>
      <c r="AW891" s="36"/>
      <c r="AX891" s="36"/>
      <c r="AY891" s="36"/>
      <c r="BK891" s="36"/>
      <c r="BM891" s="36"/>
      <c r="BV891" s="36"/>
      <c r="CF891" s="36"/>
      <c r="CN891" s="14"/>
      <c r="CV891" s="36"/>
      <c r="DB891" s="36"/>
      <c r="DT891" s="36"/>
      <c r="ED891" s="36"/>
      <c r="EL891" s="36"/>
      <c r="FT891" s="14"/>
      <c r="FU891" s="14"/>
    </row>
    <row r="892" spans="1:177" s="34" customFormat="1" ht="15" x14ac:dyDescent="0.25">
      <c r="A892" s="41" t="str">
        <f>"0902334"</f>
        <v>0902334</v>
      </c>
      <c r="B892" s="34" t="s">
        <v>55</v>
      </c>
      <c r="C892" s="12" t="s">
        <v>6548</v>
      </c>
      <c r="D892" s="34" t="s">
        <v>2</v>
      </c>
      <c r="E892" s="12">
        <v>11</v>
      </c>
      <c r="F892" s="12" t="s">
        <v>1390</v>
      </c>
      <c r="G892" s="34" t="s">
        <v>6554</v>
      </c>
      <c r="H892" s="34" t="s">
        <v>6567</v>
      </c>
      <c r="I892" s="34" t="s">
        <v>7</v>
      </c>
      <c r="J892" s="34" t="s">
        <v>1393</v>
      </c>
      <c r="K892" s="40" t="s">
        <v>1394</v>
      </c>
      <c r="L892" s="34" t="s">
        <v>1393</v>
      </c>
      <c r="M892" s="34" t="s">
        <v>6586</v>
      </c>
      <c r="N892" s="34" t="s">
        <v>6593</v>
      </c>
      <c r="Q892" s="34">
        <v>2015</v>
      </c>
      <c r="R892" s="34" t="str">
        <f t="shared" si="6"/>
        <v>fi367</v>
      </c>
      <c r="S892" s="34" t="s">
        <v>27</v>
      </c>
      <c r="T892" s="14" t="str">
        <f t="shared" si="5"/>
        <v>1.1</v>
      </c>
      <c r="U892" s="34">
        <v>80</v>
      </c>
      <c r="AU892" s="36"/>
      <c r="AV892" s="36"/>
      <c r="AW892" s="36"/>
      <c r="AX892" s="36"/>
      <c r="AY892" s="36"/>
      <c r="BK892" s="36"/>
      <c r="BM892" s="36"/>
      <c r="BV892" s="36"/>
      <c r="CF892" s="36"/>
      <c r="CN892" s="14"/>
      <c r="CV892" s="36"/>
      <c r="DB892" s="36"/>
      <c r="DT892" s="36"/>
      <c r="ED892" s="36"/>
      <c r="EL892" s="36"/>
      <c r="FT892" s="14"/>
      <c r="FU892" s="14"/>
    </row>
    <row r="893" spans="1:177" s="34" customFormat="1" ht="15" x14ac:dyDescent="0.25">
      <c r="A893" s="41" t="str">
        <f>"0902335"</f>
        <v>0902335</v>
      </c>
      <c r="B893" s="34" t="s">
        <v>55</v>
      </c>
      <c r="C893" s="12" t="s">
        <v>6547</v>
      </c>
      <c r="D893" s="34" t="s">
        <v>2</v>
      </c>
      <c r="E893" s="12">
        <v>11</v>
      </c>
      <c r="F893" s="12" t="s">
        <v>2896</v>
      </c>
      <c r="G893" s="34" t="s">
        <v>6555</v>
      </c>
      <c r="H893" s="34" t="s">
        <v>6568</v>
      </c>
      <c r="I893" s="34" t="s">
        <v>7</v>
      </c>
      <c r="J893" s="34" t="s">
        <v>6577</v>
      </c>
      <c r="K893" s="40" t="s">
        <v>6583</v>
      </c>
      <c r="L893" s="34" t="s">
        <v>2898</v>
      </c>
      <c r="M893" s="34" t="s">
        <v>6586</v>
      </c>
      <c r="N893" s="34" t="s">
        <v>6593</v>
      </c>
      <c r="Q893" s="34">
        <v>2015</v>
      </c>
      <c r="R893" s="34" t="str">
        <f t="shared" si="6"/>
        <v>fi367</v>
      </c>
      <c r="S893" s="34" t="s">
        <v>27</v>
      </c>
      <c r="T893" s="14" t="str">
        <f t="shared" si="5"/>
        <v>1.1</v>
      </c>
      <c r="U893" s="34">
        <v>80.2</v>
      </c>
      <c r="AU893" s="36"/>
      <c r="AV893" s="36"/>
      <c r="AW893" s="36"/>
      <c r="AX893" s="36"/>
      <c r="AY893" s="36"/>
      <c r="BK893" s="36"/>
      <c r="BM893" s="36"/>
      <c r="BV893" s="36"/>
      <c r="CF893" s="36"/>
      <c r="CN893" s="14"/>
      <c r="CV893" s="36"/>
      <c r="DB893" s="36"/>
      <c r="DT893" s="36"/>
      <c r="ED893" s="36"/>
      <c r="EL893" s="36"/>
      <c r="FT893" s="14"/>
      <c r="FU893" s="14"/>
    </row>
    <row r="894" spans="1:177" s="34" customFormat="1" ht="15" x14ac:dyDescent="0.25">
      <c r="A894" s="41" t="str">
        <f>"0902336"</f>
        <v>0902336</v>
      </c>
      <c r="B894" s="34" t="s">
        <v>55</v>
      </c>
      <c r="C894" s="12" t="s">
        <v>6547</v>
      </c>
      <c r="D894" s="34" t="s">
        <v>2</v>
      </c>
      <c r="E894" s="12">
        <v>11</v>
      </c>
      <c r="F894" s="12" t="s">
        <v>1313</v>
      </c>
      <c r="G894" s="34" t="s">
        <v>6556</v>
      </c>
      <c r="H894" s="34" t="s">
        <v>6569</v>
      </c>
      <c r="I894" s="34" t="s">
        <v>7</v>
      </c>
      <c r="J894" s="34" t="s">
        <v>1315</v>
      </c>
      <c r="K894" s="40" t="s">
        <v>1316</v>
      </c>
      <c r="L894" s="34" t="s">
        <v>1315</v>
      </c>
      <c r="M894" s="34" t="s">
        <v>6586</v>
      </c>
      <c r="N894" s="34" t="s">
        <v>6594</v>
      </c>
      <c r="Q894" s="34">
        <v>2015</v>
      </c>
      <c r="R894" s="34" t="str">
        <f t="shared" si="6"/>
        <v>fi367</v>
      </c>
      <c r="S894" s="34" t="s">
        <v>27</v>
      </c>
      <c r="T894" s="14" t="str">
        <f t="shared" si="5"/>
        <v>1.1</v>
      </c>
      <c r="U894" s="34">
        <v>77.8</v>
      </c>
      <c r="AU894" s="36"/>
      <c r="AV894" s="36"/>
      <c r="AW894" s="36"/>
      <c r="AX894" s="36"/>
      <c r="AY894" s="36"/>
      <c r="BK894" s="36"/>
      <c r="BM894" s="36"/>
      <c r="BV894" s="36"/>
      <c r="CF894" s="36"/>
      <c r="CN894" s="14"/>
      <c r="CV894" s="36"/>
      <c r="DB894" s="36"/>
      <c r="DT894" s="36"/>
      <c r="ED894" s="36"/>
      <c r="EL894" s="36"/>
      <c r="FT894" s="14"/>
      <c r="FU894" s="14"/>
    </row>
    <row r="895" spans="1:177" s="34" customFormat="1" ht="15" x14ac:dyDescent="0.25">
      <c r="A895" s="41" t="str">
        <f>"0902337"</f>
        <v>0902337</v>
      </c>
      <c r="B895" s="34" t="s">
        <v>55</v>
      </c>
      <c r="C895" s="12" t="s">
        <v>6547</v>
      </c>
      <c r="D895" s="34" t="s">
        <v>2</v>
      </c>
      <c r="E895" s="12">
        <v>13</v>
      </c>
      <c r="F895" s="12" t="s">
        <v>1266</v>
      </c>
      <c r="G895" s="34" t="s">
        <v>6557</v>
      </c>
      <c r="H895" s="34" t="s">
        <v>6570</v>
      </c>
      <c r="I895" s="34" t="s">
        <v>7</v>
      </c>
      <c r="J895" s="34" t="s">
        <v>6578</v>
      </c>
      <c r="K895" s="34" t="s">
        <v>1269</v>
      </c>
      <c r="L895" s="34" t="s">
        <v>1268</v>
      </c>
      <c r="M895" s="34" t="s">
        <v>6586</v>
      </c>
      <c r="N895" s="34" t="s">
        <v>6594</v>
      </c>
      <c r="Q895" s="34">
        <v>2015</v>
      </c>
      <c r="R895" s="34" t="str">
        <f t="shared" si="6"/>
        <v>fi367</v>
      </c>
      <c r="S895" s="34" t="s">
        <v>27</v>
      </c>
      <c r="T895" s="14" t="str">
        <f t="shared" si="5"/>
        <v>1.1</v>
      </c>
      <c r="U895" s="34">
        <v>65.5</v>
      </c>
      <c r="V895" s="34">
        <v>17.7</v>
      </c>
      <c r="Y895" s="34">
        <v>7.5</v>
      </c>
      <c r="Z895" s="34">
        <v>7.7</v>
      </c>
      <c r="AA895" s="34">
        <v>2.6</v>
      </c>
      <c r="AF895" s="34">
        <v>0.24399999999999999</v>
      </c>
      <c r="AG895" s="34">
        <v>2.157</v>
      </c>
      <c r="AU895" s="36" t="s">
        <v>17</v>
      </c>
      <c r="AV895" s="36" t="s">
        <v>17</v>
      </c>
      <c r="AW895" s="36">
        <v>0.62</v>
      </c>
      <c r="AX895" s="36"/>
      <c r="AY895" s="36">
        <v>2.9000000000000001E-2</v>
      </c>
      <c r="BA895" s="34">
        <v>5.18</v>
      </c>
      <c r="BD895" s="34">
        <v>3.1E-2</v>
      </c>
      <c r="BG895" s="34">
        <v>1.56</v>
      </c>
      <c r="BI895" s="34">
        <v>3.5000000000000003E-2</v>
      </c>
      <c r="BK895" s="36">
        <v>1.9E-2</v>
      </c>
      <c r="BM895" s="36" t="s">
        <v>17</v>
      </c>
      <c r="BS895" s="34">
        <v>1.0999999999999999E-2</v>
      </c>
      <c r="BV895" s="36" t="s">
        <v>17</v>
      </c>
      <c r="CA895" s="34">
        <v>0.16</v>
      </c>
      <c r="CF895" s="36">
        <v>1.6E-2</v>
      </c>
      <c r="CK895" s="34">
        <v>7.01</v>
      </c>
      <c r="CM895" s="34">
        <v>0.21</v>
      </c>
      <c r="CN895" s="14" t="s">
        <v>17</v>
      </c>
      <c r="CV895" s="36">
        <v>0.21</v>
      </c>
      <c r="DB895" s="36">
        <v>2.3E-2</v>
      </c>
      <c r="DN895" s="34">
        <v>1.82</v>
      </c>
      <c r="DT895" s="36">
        <v>7.6999999999999999E-2</v>
      </c>
      <c r="ED895" s="36">
        <v>4.2000000000000003E-2</v>
      </c>
      <c r="EH895" s="34">
        <v>0.14000000000000001</v>
      </c>
      <c r="EK895" s="34">
        <v>0.11</v>
      </c>
      <c r="EL895" s="36">
        <v>1.2999999999999999E-2</v>
      </c>
      <c r="ET895" s="34">
        <v>0.14000000000000001</v>
      </c>
      <c r="EX895" s="34">
        <v>7.0000000000000007E-2</v>
      </c>
      <c r="EY895" s="34">
        <v>1.0999999999999999E-2</v>
      </c>
      <c r="FA895" s="34">
        <v>3.7999999999999999E-2</v>
      </c>
      <c r="FE895" s="34">
        <v>1.2999999999999999E-2</v>
      </c>
      <c r="FJ895" s="34">
        <v>1.9E-2</v>
      </c>
      <c r="FM895" s="34">
        <v>1.9E-2</v>
      </c>
      <c r="FT895" s="14">
        <v>1.4E-2</v>
      </c>
      <c r="FU895" s="14" t="s">
        <v>17</v>
      </c>
    </row>
    <row r="896" spans="1:177" s="34" customFormat="1" ht="15" x14ac:dyDescent="0.25">
      <c r="A896" s="41" t="str">
        <f>"0902338"</f>
        <v>0902338</v>
      </c>
      <c r="B896" s="34" t="s">
        <v>55</v>
      </c>
      <c r="C896" s="12" t="s">
        <v>6549</v>
      </c>
      <c r="D896" s="34" t="s">
        <v>2</v>
      </c>
      <c r="E896" s="12">
        <v>13</v>
      </c>
      <c r="F896" s="12" t="s">
        <v>1266</v>
      </c>
      <c r="G896" s="34" t="s">
        <v>6558</v>
      </c>
      <c r="H896" s="34" t="s">
        <v>6570</v>
      </c>
      <c r="I896" s="34" t="s">
        <v>7</v>
      </c>
      <c r="J896" s="34" t="s">
        <v>6579</v>
      </c>
      <c r="K896" s="34" t="s">
        <v>1269</v>
      </c>
      <c r="L896" s="34" t="s">
        <v>1268</v>
      </c>
      <c r="M896" s="34" t="s">
        <v>6586</v>
      </c>
      <c r="N896" s="34" t="s">
        <v>6595</v>
      </c>
      <c r="Q896" s="34">
        <v>2015</v>
      </c>
      <c r="R896" s="34" t="str">
        <f t="shared" si="6"/>
        <v>fi367</v>
      </c>
      <c r="S896" s="34" t="s">
        <v>27</v>
      </c>
      <c r="T896" s="14" t="str">
        <f t="shared" si="5"/>
        <v>1.1</v>
      </c>
      <c r="U896" s="34">
        <v>79.2</v>
      </c>
      <c r="V896" s="34">
        <v>1.4</v>
      </c>
      <c r="Y896" s="34">
        <v>0.5</v>
      </c>
      <c r="Z896" s="34">
        <v>0.4</v>
      </c>
      <c r="AA896" s="34">
        <v>0.5</v>
      </c>
      <c r="AF896" s="34">
        <v>0.21099999999999999</v>
      </c>
      <c r="AG896" s="34">
        <v>0.17799999999999999</v>
      </c>
      <c r="AU896" s="36" t="s">
        <v>17</v>
      </c>
      <c r="AV896" s="36" t="s">
        <v>17</v>
      </c>
      <c r="AW896" s="36">
        <v>5.1999999999999998E-2</v>
      </c>
      <c r="AX896" s="36"/>
      <c r="AY896" s="36" t="s">
        <v>17</v>
      </c>
      <c r="BA896" s="34">
        <v>0.31</v>
      </c>
      <c r="BD896" s="34">
        <v>2.1999999999999999E-2</v>
      </c>
      <c r="BG896" s="34">
        <v>0.13</v>
      </c>
      <c r="BI896" s="36" t="s">
        <v>17</v>
      </c>
      <c r="BK896" s="36" t="s">
        <v>17</v>
      </c>
      <c r="BM896" s="36" t="s">
        <v>17</v>
      </c>
      <c r="BS896" s="34">
        <v>1.7999999999999999E-2</v>
      </c>
      <c r="BV896" s="36" t="s">
        <v>17</v>
      </c>
      <c r="CA896" s="34">
        <v>5.0999999999999997E-2</v>
      </c>
      <c r="CF896" s="36" t="s">
        <v>17</v>
      </c>
      <c r="CK896" s="34">
        <v>0.18</v>
      </c>
      <c r="CM896" s="34">
        <v>4.8000000000000001E-2</v>
      </c>
      <c r="CN896" s="14" t="s">
        <v>17</v>
      </c>
      <c r="CV896" s="36" t="s">
        <v>17</v>
      </c>
      <c r="DB896" s="36" t="s">
        <v>17</v>
      </c>
      <c r="DN896" s="34">
        <v>7.6999999999999999E-2</v>
      </c>
      <c r="DT896" s="36" t="s">
        <v>17</v>
      </c>
      <c r="ED896" s="36" t="s">
        <v>17</v>
      </c>
      <c r="EH896" s="34">
        <v>6.9000000000000006E-2</v>
      </c>
      <c r="EK896" s="34">
        <v>1.4999999999999999E-2</v>
      </c>
      <c r="EL896" s="36" t="s">
        <v>17</v>
      </c>
      <c r="ET896" s="34">
        <v>6.9000000000000006E-2</v>
      </c>
      <c r="EX896" s="34">
        <v>5.7000000000000002E-2</v>
      </c>
      <c r="EY896" s="34">
        <v>0.02</v>
      </c>
      <c r="FA896" s="34">
        <v>2.9000000000000001E-2</v>
      </c>
      <c r="FE896" s="34">
        <v>3.7999999999999999E-2</v>
      </c>
      <c r="FJ896" s="34">
        <v>2.4E-2</v>
      </c>
      <c r="FM896" s="34">
        <v>2.4E-2</v>
      </c>
      <c r="FT896" s="14" t="s">
        <v>17</v>
      </c>
      <c r="FU896" s="14" t="s">
        <v>17</v>
      </c>
    </row>
    <row r="897" spans="1:177" s="34" customFormat="1" ht="15" x14ac:dyDescent="0.25">
      <c r="A897" s="41" t="str">
        <f>"0902339"</f>
        <v>0902339</v>
      </c>
      <c r="B897" s="34" t="s">
        <v>55</v>
      </c>
      <c r="C897" s="12" t="s">
        <v>6547</v>
      </c>
      <c r="D897" s="34" t="s">
        <v>2</v>
      </c>
      <c r="E897" s="12">
        <v>11</v>
      </c>
      <c r="F897" s="12" t="s">
        <v>6553</v>
      </c>
      <c r="G897" s="34" t="s">
        <v>6559</v>
      </c>
      <c r="H897" s="34" t="s">
        <v>6571</v>
      </c>
      <c r="I897" s="34" t="s">
        <v>7</v>
      </c>
      <c r="J897" s="34" t="s">
        <v>6580</v>
      </c>
      <c r="K897" s="40" t="s">
        <v>6584</v>
      </c>
      <c r="L897" s="34" t="s">
        <v>6580</v>
      </c>
      <c r="M897" s="34" t="s">
        <v>6586</v>
      </c>
      <c r="N897" s="34" t="s">
        <v>6593</v>
      </c>
      <c r="Q897" s="34">
        <v>2015</v>
      </c>
      <c r="R897" s="34" t="str">
        <f t="shared" si="6"/>
        <v>fi367</v>
      </c>
      <c r="S897" s="34" t="s">
        <v>27</v>
      </c>
      <c r="T897" s="14" t="str">
        <f t="shared" si="5"/>
        <v>1.1</v>
      </c>
      <c r="U897" s="34">
        <v>76.2</v>
      </c>
      <c r="AU897" s="36"/>
      <c r="AV897" s="36"/>
      <c r="AW897" s="36"/>
      <c r="AX897" s="36"/>
      <c r="AY897" s="36"/>
      <c r="BK897" s="36"/>
      <c r="BM897" s="36"/>
      <c r="BV897" s="36"/>
      <c r="CF897" s="36"/>
      <c r="CN897" s="14"/>
      <c r="CV897" s="36"/>
      <c r="DB897" s="36"/>
      <c r="DT897" s="36"/>
      <c r="ED897" s="36"/>
      <c r="EL897" s="36"/>
      <c r="FT897" s="14"/>
      <c r="FU897" s="14"/>
    </row>
    <row r="898" spans="1:177" s="34" customFormat="1" ht="15" x14ac:dyDescent="0.25">
      <c r="A898" s="41" t="str">
        <f>"0902340"</f>
        <v>0902340</v>
      </c>
      <c r="B898" s="34" t="s">
        <v>55</v>
      </c>
      <c r="C898" s="12" t="s">
        <v>6547</v>
      </c>
      <c r="D898" s="34" t="s">
        <v>2</v>
      </c>
      <c r="E898" s="12">
        <v>12</v>
      </c>
      <c r="F898" s="12" t="s">
        <v>1374</v>
      </c>
      <c r="G898" s="34" t="s">
        <v>2517</v>
      </c>
      <c r="H898" s="34" t="s">
        <v>6572</v>
      </c>
      <c r="I898" s="34" t="s">
        <v>7</v>
      </c>
      <c r="J898" s="34" t="s">
        <v>1376</v>
      </c>
      <c r="K898" s="40" t="s">
        <v>1377</v>
      </c>
      <c r="L898" s="34" t="s">
        <v>1376</v>
      </c>
      <c r="M898" s="34" t="s">
        <v>6586</v>
      </c>
      <c r="N898" s="34" t="s">
        <v>6591</v>
      </c>
      <c r="Q898" s="34">
        <v>2015</v>
      </c>
      <c r="R898" s="34" t="str">
        <f t="shared" si="6"/>
        <v>fi367</v>
      </c>
      <c r="S898" s="34" t="s">
        <v>27</v>
      </c>
      <c r="T898" s="14" t="str">
        <f t="shared" si="5"/>
        <v>1.1</v>
      </c>
      <c r="U898" s="34">
        <v>77.599999999999994</v>
      </c>
      <c r="AU898" s="36"/>
      <c r="AV898" s="36"/>
      <c r="AW898" s="36"/>
      <c r="AX898" s="36"/>
      <c r="AY898" s="36"/>
      <c r="BK898" s="36"/>
      <c r="BM898" s="36"/>
      <c r="BV898" s="36"/>
      <c r="CF898" s="36"/>
      <c r="CN898" s="14"/>
      <c r="CV898" s="36"/>
      <c r="DB898" s="36"/>
      <c r="DT898" s="36"/>
      <c r="ED898" s="36"/>
      <c r="EL898" s="36"/>
      <c r="FT898" s="14"/>
      <c r="FU898" s="14"/>
    </row>
    <row r="899" spans="1:177" s="34" customFormat="1" ht="15" x14ac:dyDescent="0.25">
      <c r="A899" s="41" t="str">
        <f>"0902341"</f>
        <v>0902341</v>
      </c>
      <c r="B899" s="34" t="s">
        <v>55</v>
      </c>
      <c r="C899" s="12" t="s">
        <v>6547</v>
      </c>
      <c r="D899" s="34" t="s">
        <v>2</v>
      </c>
      <c r="E899" s="12">
        <v>12</v>
      </c>
      <c r="F899" s="12" t="s">
        <v>1374</v>
      </c>
      <c r="G899" s="34" t="s">
        <v>6560</v>
      </c>
      <c r="H899" s="34" t="s">
        <v>6572</v>
      </c>
      <c r="I899" s="34" t="s">
        <v>7</v>
      </c>
      <c r="J899" s="34" t="s">
        <v>6581</v>
      </c>
      <c r="K899" s="40" t="s">
        <v>1377</v>
      </c>
      <c r="L899" s="34" t="s">
        <v>1376</v>
      </c>
      <c r="M899" s="34" t="s">
        <v>6586</v>
      </c>
      <c r="N899" s="34" t="s">
        <v>6591</v>
      </c>
      <c r="Q899" s="34">
        <v>2015</v>
      </c>
      <c r="R899" s="34" t="str">
        <f t="shared" si="6"/>
        <v>fi367</v>
      </c>
      <c r="S899" s="34" t="s">
        <v>27</v>
      </c>
      <c r="T899" s="14" t="str">
        <f t="shared" si="5"/>
        <v>1.1</v>
      </c>
      <c r="U899" s="34">
        <v>77.5</v>
      </c>
      <c r="AU899" s="36"/>
      <c r="AV899" s="36"/>
      <c r="AW899" s="36"/>
      <c r="AX899" s="36"/>
      <c r="AY899" s="36"/>
      <c r="BK899" s="36"/>
      <c r="BM899" s="36"/>
      <c r="BV899" s="36"/>
      <c r="CF899" s="36"/>
      <c r="CN899" s="14"/>
      <c r="CV899" s="36"/>
      <c r="DB899" s="36"/>
      <c r="DT899" s="36"/>
      <c r="ED899" s="36"/>
      <c r="EL899" s="36"/>
      <c r="FT899" s="14"/>
      <c r="FU899" s="14"/>
    </row>
    <row r="900" spans="1:177" s="34" customFormat="1" ht="15" x14ac:dyDescent="0.25">
      <c r="A900" s="41" t="str">
        <f>"0902342"</f>
        <v>0902342</v>
      </c>
      <c r="B900" s="34" t="s">
        <v>55</v>
      </c>
      <c r="C900" s="12" t="s">
        <v>6550</v>
      </c>
      <c r="D900" s="34" t="s">
        <v>2</v>
      </c>
      <c r="E900" s="12">
        <v>31</v>
      </c>
      <c r="F900" s="12" t="s">
        <v>2190</v>
      </c>
      <c r="G900" s="34" t="s">
        <v>6561</v>
      </c>
      <c r="H900" s="34" t="s">
        <v>6573</v>
      </c>
      <c r="I900" s="34" t="s">
        <v>7</v>
      </c>
      <c r="J900" s="34" t="s">
        <v>6582</v>
      </c>
      <c r="K900" s="40" t="s">
        <v>6585</v>
      </c>
      <c r="L900" s="34" t="s">
        <v>6582</v>
      </c>
      <c r="M900" s="34" t="s">
        <v>6587</v>
      </c>
      <c r="N900" s="34" t="s">
        <v>6596</v>
      </c>
      <c r="Q900" s="36" t="s">
        <v>6599</v>
      </c>
      <c r="R900" s="34" t="str">
        <f>"fi361"</f>
        <v>fi361</v>
      </c>
      <c r="S900" s="34" t="s">
        <v>6600</v>
      </c>
      <c r="T900" s="14" t="str">
        <f t="shared" si="5"/>
        <v>1.1</v>
      </c>
      <c r="U900" s="34">
        <v>74</v>
      </c>
      <c r="V900" s="34">
        <v>2.4</v>
      </c>
      <c r="Y900" s="34">
        <v>0.53</v>
      </c>
      <c r="Z900" s="34">
        <v>0.64</v>
      </c>
      <c r="AA900" s="34">
        <v>0.9</v>
      </c>
      <c r="AD900" s="34">
        <v>0.9</v>
      </c>
      <c r="AE900" s="34">
        <f>U900*0.9</f>
        <v>66.600000000000009</v>
      </c>
      <c r="AI900" s="12">
        <v>0.74</v>
      </c>
      <c r="AJ900" s="12">
        <v>0.64</v>
      </c>
      <c r="AK900" s="12">
        <v>0.14000000000000001</v>
      </c>
      <c r="AL900" s="12">
        <v>0.34</v>
      </c>
      <c r="AU900" s="36"/>
      <c r="AV900" s="36"/>
      <c r="AW900" s="36"/>
      <c r="AX900" s="36">
        <v>0.11</v>
      </c>
      <c r="AY900" s="36" t="s">
        <v>15</v>
      </c>
      <c r="BA900" s="34">
        <v>0.33</v>
      </c>
      <c r="BD900" s="36" t="s">
        <v>15</v>
      </c>
      <c r="BG900" s="34">
        <v>7.0000000000000007E-2</v>
      </c>
      <c r="BI900" s="36" t="s">
        <v>17</v>
      </c>
      <c r="BK900" s="36" t="s">
        <v>17</v>
      </c>
      <c r="BM900" s="36" t="s">
        <v>17</v>
      </c>
      <c r="BO900" s="36" t="s">
        <v>17</v>
      </c>
      <c r="BX900" s="36" t="s">
        <v>15</v>
      </c>
      <c r="BZ900" s="36">
        <v>0.14000000000000001</v>
      </c>
      <c r="CH900" s="36" t="s">
        <v>15</v>
      </c>
      <c r="CK900" s="36">
        <v>0.24</v>
      </c>
      <c r="CM900" s="36">
        <v>0.06</v>
      </c>
      <c r="CN900" s="36"/>
      <c r="CU900" s="36" t="s">
        <v>15</v>
      </c>
      <c r="CV900" s="36">
        <v>7.0000000000000007E-2</v>
      </c>
      <c r="CX900" s="36" t="s">
        <v>15</v>
      </c>
      <c r="DA900" s="36">
        <v>7.0000000000000007E-2</v>
      </c>
      <c r="DB900" s="36" t="s">
        <v>15</v>
      </c>
      <c r="DE900" s="36" t="s">
        <v>15</v>
      </c>
      <c r="DI900" s="34">
        <v>0.02</v>
      </c>
      <c r="DN900" s="34">
        <v>0.11</v>
      </c>
      <c r="DT900" s="36" t="s">
        <v>15</v>
      </c>
      <c r="EA900" s="36">
        <v>0.02</v>
      </c>
      <c r="EH900" s="34">
        <v>0.02</v>
      </c>
      <c r="EK900" s="36" t="s">
        <v>17</v>
      </c>
      <c r="EL900" s="36" t="s">
        <v>17</v>
      </c>
      <c r="EQ900" s="36">
        <v>0.03</v>
      </c>
      <c r="ET900" s="34">
        <v>0.03</v>
      </c>
      <c r="EX900" s="34">
        <v>0.03</v>
      </c>
      <c r="EY900" s="34">
        <v>0.02</v>
      </c>
      <c r="FE900" s="34">
        <v>0.26</v>
      </c>
      <c r="FJ900" s="34">
        <v>0.04</v>
      </c>
      <c r="FM900" s="34">
        <v>0.32</v>
      </c>
    </row>
    <row r="901" spans="1:177" s="34" customFormat="1" ht="15" x14ac:dyDescent="0.25">
      <c r="A901" s="41" t="str">
        <f>"0902343"</f>
        <v>0902343</v>
      </c>
      <c r="B901" s="34" t="s">
        <v>55</v>
      </c>
      <c r="C901" s="12" t="s">
        <v>6551</v>
      </c>
      <c r="D901" s="34" t="s">
        <v>2</v>
      </c>
      <c r="E901" s="12">
        <v>32</v>
      </c>
      <c r="F901" s="12" t="s">
        <v>1748</v>
      </c>
      <c r="G901" s="34" t="s">
        <v>6562</v>
      </c>
      <c r="H901" s="34" t="s">
        <v>6574</v>
      </c>
      <c r="I901" s="34" t="s">
        <v>7</v>
      </c>
      <c r="J901" s="34" t="s">
        <v>1750</v>
      </c>
      <c r="K901" s="40" t="s">
        <v>1751</v>
      </c>
      <c r="L901" s="34" t="s">
        <v>1750</v>
      </c>
      <c r="M901" s="34" t="s">
        <v>6588</v>
      </c>
      <c r="N901" s="34" t="s">
        <v>6597</v>
      </c>
      <c r="Q901" s="36" t="s">
        <v>6599</v>
      </c>
      <c r="R901" s="34" t="str">
        <f>"fi361"</f>
        <v>fi361</v>
      </c>
      <c r="S901" s="34" t="s">
        <v>6600</v>
      </c>
      <c r="T901" s="14" t="str">
        <f t="shared" si="5"/>
        <v>1.1</v>
      </c>
      <c r="U901" s="34">
        <v>79</v>
      </c>
      <c r="V901" s="34">
        <v>0.5</v>
      </c>
      <c r="Y901" s="34">
        <v>0.09</v>
      </c>
      <c r="Z901" s="34">
        <v>0.05</v>
      </c>
      <c r="AA901" s="34">
        <v>0.2</v>
      </c>
      <c r="AD901" s="34">
        <v>0.7</v>
      </c>
      <c r="AE901" s="34">
        <f>U901*0.7</f>
        <v>55.3</v>
      </c>
      <c r="AI901" s="12">
        <v>0.18</v>
      </c>
      <c r="AJ901" s="12">
        <v>0.18</v>
      </c>
      <c r="AK901" s="12">
        <v>0.02</v>
      </c>
      <c r="AL901" s="12">
        <v>0.04</v>
      </c>
      <c r="AU901" s="36"/>
      <c r="AV901" s="36"/>
      <c r="AW901" s="36"/>
      <c r="AX901" s="36" t="s">
        <v>15</v>
      </c>
      <c r="AY901" s="36" t="s">
        <v>17</v>
      </c>
      <c r="BA901" s="34">
        <v>0.06</v>
      </c>
      <c r="BD901" s="36" t="s">
        <v>17</v>
      </c>
      <c r="BG901" s="34">
        <v>0.02</v>
      </c>
      <c r="BI901" s="36" t="s">
        <v>17</v>
      </c>
      <c r="BK901" s="36" t="s">
        <v>17</v>
      </c>
      <c r="BM901" s="36" t="s">
        <v>17</v>
      </c>
      <c r="BO901" s="36" t="s">
        <v>17</v>
      </c>
      <c r="BX901" s="36" t="s">
        <v>17</v>
      </c>
      <c r="BZ901" s="36" t="s">
        <v>15</v>
      </c>
      <c r="CH901" s="36" t="s">
        <v>17</v>
      </c>
      <c r="CK901" s="36">
        <v>0.03</v>
      </c>
      <c r="CM901" s="36" t="s">
        <v>15</v>
      </c>
      <c r="CN901" s="36"/>
      <c r="CU901" s="36" t="s">
        <v>17</v>
      </c>
      <c r="CV901" s="36" t="s">
        <v>15</v>
      </c>
      <c r="CX901" s="36" t="s">
        <v>17</v>
      </c>
      <c r="DA901" s="36" t="s">
        <v>17</v>
      </c>
      <c r="DB901" s="36" t="s">
        <v>17</v>
      </c>
      <c r="DE901" s="36" t="s">
        <v>17</v>
      </c>
      <c r="DI901" s="36" t="s">
        <v>17</v>
      </c>
      <c r="DN901" s="34">
        <v>0.01</v>
      </c>
      <c r="DT901" s="36" t="s">
        <v>17</v>
      </c>
      <c r="EA901" s="36" t="s">
        <v>17</v>
      </c>
      <c r="EH901" s="36" t="s">
        <v>17</v>
      </c>
      <c r="EK901" s="36" t="s">
        <v>17</v>
      </c>
      <c r="EL901" s="36" t="s">
        <v>17</v>
      </c>
      <c r="EQ901" s="36" t="s">
        <v>17</v>
      </c>
      <c r="ET901" s="36" t="s">
        <v>17</v>
      </c>
      <c r="EX901" s="36" t="s">
        <v>15</v>
      </c>
      <c r="EY901" s="36" t="s">
        <v>17</v>
      </c>
      <c r="FE901" s="34">
        <v>0.06</v>
      </c>
      <c r="FJ901" s="36" t="s">
        <v>15</v>
      </c>
      <c r="FM901" s="34">
        <v>0.12</v>
      </c>
    </row>
    <row r="902" spans="1:177" s="34" customFormat="1" ht="15" x14ac:dyDescent="0.25">
      <c r="A902" s="41" t="str">
        <f>"0902344"</f>
        <v>0902344</v>
      </c>
      <c r="B902" s="34" t="s">
        <v>55</v>
      </c>
      <c r="C902" s="12" t="s">
        <v>6712</v>
      </c>
      <c r="D902" s="34" t="s">
        <v>2</v>
      </c>
      <c r="E902" s="12">
        <v>23</v>
      </c>
      <c r="F902" s="12" t="s">
        <v>1274</v>
      </c>
      <c r="G902" s="34" t="s">
        <v>6563</v>
      </c>
      <c r="H902" s="34" t="s">
        <v>6575</v>
      </c>
      <c r="I902" s="34" t="s">
        <v>7</v>
      </c>
      <c r="J902" s="34" t="s">
        <v>1276</v>
      </c>
      <c r="K902" s="40" t="s">
        <v>1277</v>
      </c>
      <c r="L902" s="34" t="s">
        <v>1276</v>
      </c>
      <c r="M902" s="34" t="s">
        <v>6589</v>
      </c>
      <c r="N902" s="34" t="s">
        <v>6598</v>
      </c>
      <c r="Q902" s="36" t="s">
        <v>6599</v>
      </c>
      <c r="R902" s="34" t="str">
        <f>"fi361"</f>
        <v>fi361</v>
      </c>
      <c r="S902" s="34" t="s">
        <v>6600</v>
      </c>
      <c r="T902" s="14" t="str">
        <f t="shared" si="5"/>
        <v>1.1</v>
      </c>
      <c r="U902" s="34">
        <v>61</v>
      </c>
      <c r="V902" s="34">
        <v>16</v>
      </c>
      <c r="Y902" s="34">
        <v>3</v>
      </c>
      <c r="Z902" s="34">
        <v>5.91</v>
      </c>
      <c r="AA902" s="34">
        <v>5</v>
      </c>
      <c r="AD902" s="34">
        <v>0.9</v>
      </c>
      <c r="AE902" s="34">
        <f>U902*0.9</f>
        <v>54.9</v>
      </c>
      <c r="AI902" s="12">
        <v>3.76</v>
      </c>
      <c r="AJ902" s="12">
        <v>3.17</v>
      </c>
      <c r="AK902" s="12">
        <v>1.17</v>
      </c>
      <c r="AL902" s="12">
        <v>3.96</v>
      </c>
      <c r="AU902" s="36"/>
      <c r="AV902" s="36"/>
      <c r="AW902" s="36"/>
      <c r="AX902" s="36">
        <v>0.59</v>
      </c>
      <c r="AY902" s="36">
        <v>0.05</v>
      </c>
      <c r="BA902" s="34">
        <v>1.86</v>
      </c>
      <c r="BD902" s="34">
        <v>0.04</v>
      </c>
      <c r="BG902" s="34">
        <v>0.41</v>
      </c>
      <c r="BI902" s="36">
        <v>0.03</v>
      </c>
      <c r="BK902" s="36">
        <v>0.02</v>
      </c>
      <c r="BM902" s="36" t="s">
        <v>17</v>
      </c>
      <c r="BO902" s="36" t="s">
        <v>17</v>
      </c>
      <c r="BX902" s="34">
        <v>0.05</v>
      </c>
      <c r="BZ902" s="34">
        <v>0.71</v>
      </c>
      <c r="CH902" s="34">
        <v>0.08</v>
      </c>
      <c r="CK902" s="34">
        <v>3.09</v>
      </c>
      <c r="CM902" s="34">
        <v>0.44</v>
      </c>
      <c r="CU902" s="34">
        <v>0.08</v>
      </c>
      <c r="CV902" s="36">
        <v>0.66</v>
      </c>
      <c r="CX902" s="34">
        <v>0.03</v>
      </c>
      <c r="DA902" s="34">
        <v>0.61</v>
      </c>
      <c r="DB902" s="36">
        <v>0.08</v>
      </c>
      <c r="DE902" s="36">
        <v>0.08</v>
      </c>
      <c r="DI902" s="34">
        <v>0.08</v>
      </c>
      <c r="DN902" s="34">
        <v>0.97</v>
      </c>
      <c r="DT902" s="36">
        <v>0.08</v>
      </c>
      <c r="EA902" s="34">
        <v>0.05</v>
      </c>
      <c r="EH902" s="34">
        <v>0.31</v>
      </c>
      <c r="EK902" s="34">
        <v>0.03</v>
      </c>
      <c r="EL902" s="36">
        <v>0.03</v>
      </c>
      <c r="EQ902" s="34">
        <v>0.06</v>
      </c>
      <c r="ET902" s="34">
        <v>0.17</v>
      </c>
      <c r="EX902" s="34">
        <v>0.08</v>
      </c>
      <c r="EY902" s="34">
        <v>0.21</v>
      </c>
      <c r="FE902" s="34">
        <v>1.02</v>
      </c>
      <c r="FJ902" s="34">
        <v>0.53</v>
      </c>
      <c r="FM902" s="34">
        <v>1.39</v>
      </c>
    </row>
    <row r="903" spans="1:177" s="34" customFormat="1" ht="15" x14ac:dyDescent="0.25">
      <c r="A903" s="41" t="str">
        <f>"0902345"</f>
        <v>0902345</v>
      </c>
      <c r="B903" s="34" t="s">
        <v>55</v>
      </c>
      <c r="C903" s="12" t="s">
        <v>6552</v>
      </c>
      <c r="D903" s="34" t="s">
        <v>2</v>
      </c>
      <c r="E903" s="12">
        <v>23</v>
      </c>
      <c r="F903" s="12" t="s">
        <v>1472</v>
      </c>
      <c r="G903" s="34" t="s">
        <v>6713</v>
      </c>
      <c r="H903" s="34" t="s">
        <v>6576</v>
      </c>
      <c r="I903" s="34" t="s">
        <v>7</v>
      </c>
      <c r="J903" s="34" t="s">
        <v>1474</v>
      </c>
      <c r="K903" s="40" t="s">
        <v>1475</v>
      </c>
      <c r="L903" s="34" t="s">
        <v>1474</v>
      </c>
      <c r="M903" s="34" t="s">
        <v>6590</v>
      </c>
      <c r="N903" s="34" t="s">
        <v>6597</v>
      </c>
      <c r="Q903" s="36" t="s">
        <v>6599</v>
      </c>
      <c r="R903" s="34" t="str">
        <f>"fi361"</f>
        <v>fi361</v>
      </c>
      <c r="S903" s="34" t="s">
        <v>6600</v>
      </c>
      <c r="T903" s="14" t="str">
        <f t="shared" si="5"/>
        <v>1.1</v>
      </c>
      <c r="U903" s="34">
        <v>70</v>
      </c>
      <c r="V903" s="34">
        <v>10</v>
      </c>
      <c r="Y903" s="34">
        <v>2.0299999999999998</v>
      </c>
      <c r="Z903" s="34">
        <v>3.52</v>
      </c>
      <c r="AA903" s="34">
        <v>3.16</v>
      </c>
      <c r="AD903" s="34">
        <v>0.9</v>
      </c>
      <c r="AE903" s="34">
        <f>U903*0.9</f>
        <v>63</v>
      </c>
      <c r="AI903" s="12">
        <v>2.56</v>
      </c>
      <c r="AJ903" s="12">
        <v>2.2200000000000002</v>
      </c>
      <c r="AK903" s="12">
        <v>0.56999999999999995</v>
      </c>
      <c r="AL903" s="12">
        <v>2.13</v>
      </c>
      <c r="AU903" s="36"/>
      <c r="AV903" s="36"/>
      <c r="AW903" s="36"/>
      <c r="AX903" s="36">
        <v>0.43</v>
      </c>
      <c r="AY903" s="36">
        <v>0.04</v>
      </c>
      <c r="BA903" s="34">
        <v>1.27</v>
      </c>
      <c r="BD903" s="34">
        <v>0.02</v>
      </c>
      <c r="BG903" s="34">
        <v>0.25</v>
      </c>
      <c r="BI903" s="36">
        <v>0.02</v>
      </c>
      <c r="BK903" s="36" t="s">
        <v>17</v>
      </c>
      <c r="BM903" s="36" t="s">
        <v>17</v>
      </c>
      <c r="BO903" s="36" t="s">
        <v>17</v>
      </c>
      <c r="BX903" s="34">
        <v>0.03</v>
      </c>
      <c r="BZ903" s="34">
        <v>0.46</v>
      </c>
      <c r="CH903" s="34">
        <v>0.08</v>
      </c>
      <c r="CK903" s="34">
        <v>1.53</v>
      </c>
      <c r="CM903" s="34">
        <v>0.24</v>
      </c>
      <c r="CU903" s="34">
        <v>0.08</v>
      </c>
      <c r="CV903" s="36">
        <v>0.47</v>
      </c>
      <c r="CX903" s="34">
        <v>0.02</v>
      </c>
      <c r="DA903" s="34">
        <v>0.51</v>
      </c>
      <c r="DB903" s="36">
        <v>0.06</v>
      </c>
      <c r="DE903" s="34">
        <v>0.05</v>
      </c>
      <c r="DI903" s="34">
        <v>0.04</v>
      </c>
      <c r="DN903" s="34">
        <v>0.45</v>
      </c>
      <c r="DT903" s="36">
        <v>0.03</v>
      </c>
      <c r="EA903" s="34">
        <v>0.03</v>
      </c>
      <c r="EH903" s="34">
        <v>0.14000000000000001</v>
      </c>
      <c r="EK903" s="34">
        <v>0.02</v>
      </c>
      <c r="EL903" s="36" t="s">
        <v>17</v>
      </c>
      <c r="EQ903" s="34">
        <v>0.04</v>
      </c>
      <c r="ET903" s="34">
        <v>0.13</v>
      </c>
      <c r="EX903" s="34">
        <v>7.0000000000000007E-2</v>
      </c>
      <c r="EY903" s="34">
        <v>0.11</v>
      </c>
      <c r="FE903" s="34">
        <v>0.64</v>
      </c>
      <c r="FJ903" s="34">
        <v>0.23</v>
      </c>
      <c r="FM903" s="34">
        <v>1.24</v>
      </c>
    </row>
  </sheetData>
  <pageMargins left="0.7" right="0.7" top="0.75" bottom="0.75" header="0.3" footer="0.3"/>
  <ignoredErrors>
    <ignoredError sqref="A4:A773 A778:A881 A775:A776 A774 A77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Q4"/>
  <sheetViews>
    <sheetView workbookViewId="0"/>
  </sheetViews>
  <sheetFormatPr defaultColWidth="11.42578125" defaultRowHeight="12.75" x14ac:dyDescent="0.2"/>
  <cols>
    <col min="1" max="16384" width="11.42578125" style="1"/>
  </cols>
  <sheetData>
    <row r="1" spans="1:95" s="4" customFormat="1"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6212</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95" ht="58.5" customHeight="1" x14ac:dyDescent="0.2">
      <c r="A2" s="5"/>
      <c r="B2" s="5" t="s">
        <v>152</v>
      </c>
      <c r="C2" s="5"/>
      <c r="D2" s="5"/>
      <c r="E2" s="5" t="s">
        <v>153</v>
      </c>
      <c r="F2" s="5"/>
      <c r="G2" s="5" t="s">
        <v>154</v>
      </c>
      <c r="H2" s="5" t="s">
        <v>155</v>
      </c>
      <c r="I2" s="5" t="s">
        <v>14</v>
      </c>
      <c r="J2" s="5"/>
      <c r="K2" s="5"/>
      <c r="L2" s="5"/>
      <c r="M2" s="5"/>
      <c r="N2" s="5"/>
    </row>
    <row r="4" spans="1:95" x14ac:dyDescent="0.2">
      <c r="A4" s="1" t="s">
        <v>6194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Q4"/>
  <sheetViews>
    <sheetView workbookViewId="0"/>
  </sheetViews>
  <sheetFormatPr defaultColWidth="11.42578125" defaultRowHeight="12.75" x14ac:dyDescent="0.2"/>
  <cols>
    <col min="1" max="16384" width="11.42578125" style="1"/>
  </cols>
  <sheetData>
    <row r="1" spans="1:95" s="4" customFormat="1"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6212</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95" ht="58.5" customHeight="1" x14ac:dyDescent="0.2">
      <c r="A2" s="5"/>
      <c r="B2" s="5" t="s">
        <v>152</v>
      </c>
      <c r="C2" s="5"/>
      <c r="D2" s="5"/>
      <c r="E2" s="5" t="s">
        <v>153</v>
      </c>
      <c r="F2" s="5"/>
      <c r="G2" s="5" t="s">
        <v>154</v>
      </c>
      <c r="H2" s="5" t="s">
        <v>155</v>
      </c>
      <c r="I2" s="5" t="s">
        <v>14</v>
      </c>
      <c r="J2" s="5"/>
      <c r="K2" s="5"/>
      <c r="L2" s="5"/>
      <c r="M2" s="5"/>
      <c r="N2" s="5"/>
    </row>
    <row r="4" spans="1:95" x14ac:dyDescent="0.2">
      <c r="A4" s="1" t="s">
        <v>6194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O10"/>
  <sheetViews>
    <sheetView workbookViewId="0">
      <pane ySplit="3" topLeftCell="A4" activePane="bottomLeft" state="frozen"/>
      <selection pane="bottomLeft"/>
    </sheetView>
  </sheetViews>
  <sheetFormatPr defaultColWidth="11.42578125" defaultRowHeight="12.75" x14ac:dyDescent="0.2"/>
  <cols>
    <col min="1" max="16384" width="11.42578125" style="1"/>
  </cols>
  <sheetData>
    <row r="1" spans="1:249" s="4" customFormat="1"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4" t="s">
        <v>73</v>
      </c>
      <c r="P1" s="4" t="s">
        <v>74</v>
      </c>
      <c r="Q1" s="4" t="s">
        <v>6212</v>
      </c>
      <c r="R1" s="4" t="s">
        <v>246</v>
      </c>
      <c r="S1" s="4" t="s">
        <v>76</v>
      </c>
      <c r="T1" s="4" t="s">
        <v>77</v>
      </c>
      <c r="U1" s="4" t="s">
        <v>78</v>
      </c>
      <c r="V1" s="4" t="s">
        <v>79</v>
      </c>
      <c r="W1" s="4" t="s">
        <v>80</v>
      </c>
      <c r="X1" s="4" t="s">
        <v>81</v>
      </c>
      <c r="Y1" s="4" t="s">
        <v>82</v>
      </c>
      <c r="Z1" s="4" t="s">
        <v>83</v>
      </c>
      <c r="AA1" s="4" t="s">
        <v>84</v>
      </c>
      <c r="AB1" s="4" t="s">
        <v>85</v>
      </c>
      <c r="AC1" s="4" t="s">
        <v>86</v>
      </c>
      <c r="AD1" s="4" t="s">
        <v>87</v>
      </c>
      <c r="AE1" s="4" t="s">
        <v>88</v>
      </c>
      <c r="AF1" s="4" t="s">
        <v>89</v>
      </c>
      <c r="AG1" s="4" t="s">
        <v>90</v>
      </c>
      <c r="AH1" s="4" t="s">
        <v>91</v>
      </c>
      <c r="AI1" s="4" t="s">
        <v>92</v>
      </c>
      <c r="AJ1" s="4" t="s">
        <v>93</v>
      </c>
      <c r="AK1" s="4" t="s">
        <v>94</v>
      </c>
      <c r="AL1" s="4" t="s">
        <v>95</v>
      </c>
      <c r="AM1" s="4" t="s">
        <v>96</v>
      </c>
      <c r="AN1" s="4" t="s">
        <v>97</v>
      </c>
      <c r="AO1" s="4" t="s">
        <v>98</v>
      </c>
      <c r="AP1" s="4" t="s">
        <v>99</v>
      </c>
      <c r="AQ1" s="4" t="s">
        <v>100</v>
      </c>
      <c r="AR1" s="4" t="s">
        <v>101</v>
      </c>
      <c r="AS1" s="4" t="s">
        <v>102</v>
      </c>
      <c r="AT1" s="4" t="s">
        <v>103</v>
      </c>
      <c r="AU1" s="4" t="s">
        <v>104</v>
      </c>
      <c r="AV1" s="4" t="s">
        <v>105</v>
      </c>
      <c r="AW1" s="4" t="s">
        <v>106</v>
      </c>
      <c r="AX1" s="4" t="s">
        <v>107</v>
      </c>
      <c r="AY1" s="4" t="s">
        <v>108</v>
      </c>
      <c r="AZ1" s="4" t="s">
        <v>109</v>
      </c>
      <c r="BA1" s="4" t="s">
        <v>110</v>
      </c>
      <c r="BB1" s="4" t="s">
        <v>111</v>
      </c>
      <c r="BC1" s="4" t="s">
        <v>112</v>
      </c>
      <c r="BD1" s="4" t="s">
        <v>113</v>
      </c>
      <c r="BE1" s="4" t="s">
        <v>114</v>
      </c>
      <c r="BF1" s="4" t="s">
        <v>115</v>
      </c>
      <c r="BG1" s="4" t="s">
        <v>116</v>
      </c>
      <c r="BH1" s="4" t="s">
        <v>117</v>
      </c>
      <c r="BI1" s="4" t="s">
        <v>118</v>
      </c>
      <c r="BJ1" s="4" t="s">
        <v>119</v>
      </c>
      <c r="BK1" s="4" t="s">
        <v>120</v>
      </c>
      <c r="BL1" s="4" t="s">
        <v>121</v>
      </c>
      <c r="BM1" s="4" t="s">
        <v>122</v>
      </c>
      <c r="BN1" s="4" t="s">
        <v>123</v>
      </c>
      <c r="BO1" s="4" t="s">
        <v>124</v>
      </c>
      <c r="BP1" s="4" t="s">
        <v>125</v>
      </c>
      <c r="BQ1" s="4" t="s">
        <v>126</v>
      </c>
      <c r="BR1" s="4" t="s">
        <v>127</v>
      </c>
      <c r="BS1" s="4" t="s">
        <v>128</v>
      </c>
      <c r="BT1" s="4" t="s">
        <v>129</v>
      </c>
      <c r="BU1" s="4" t="s">
        <v>130</v>
      </c>
      <c r="BV1" s="4" t="s">
        <v>131</v>
      </c>
      <c r="BW1" s="4" t="s">
        <v>132</v>
      </c>
      <c r="BX1" s="4" t="s">
        <v>133</v>
      </c>
      <c r="BY1" s="4" t="s">
        <v>134</v>
      </c>
      <c r="BZ1" s="4" t="s">
        <v>135</v>
      </c>
      <c r="CA1" s="4" t="s">
        <v>136</v>
      </c>
      <c r="CB1" s="4" t="s">
        <v>137</v>
      </c>
      <c r="CC1" s="4" t="s">
        <v>138</v>
      </c>
      <c r="CD1" s="4" t="s">
        <v>139</v>
      </c>
      <c r="CE1" s="4" t="s">
        <v>140</v>
      </c>
      <c r="CF1" s="4" t="s">
        <v>141</v>
      </c>
      <c r="CG1" s="4" t="s">
        <v>142</v>
      </c>
      <c r="CH1" s="4" t="s">
        <v>143</v>
      </c>
      <c r="CI1" s="4" t="s">
        <v>144</v>
      </c>
      <c r="CJ1" s="4" t="s">
        <v>145</v>
      </c>
      <c r="CK1" s="4" t="s">
        <v>146</v>
      </c>
      <c r="CL1" s="4" t="s">
        <v>147</v>
      </c>
      <c r="CM1" s="4" t="s">
        <v>148</v>
      </c>
      <c r="CN1" s="4" t="s">
        <v>149</v>
      </c>
      <c r="CO1" s="4" t="s">
        <v>150</v>
      </c>
      <c r="CP1" s="4" t="s">
        <v>151</v>
      </c>
      <c r="CQ1" s="4" t="s">
        <v>251</v>
      </c>
    </row>
    <row r="2" spans="1:249" ht="58.5" customHeight="1" x14ac:dyDescent="0.2">
      <c r="A2" s="5"/>
      <c r="B2" s="5" t="s">
        <v>152</v>
      </c>
      <c r="C2" s="5"/>
      <c r="D2" s="5"/>
      <c r="E2" s="5" t="s">
        <v>153</v>
      </c>
      <c r="F2" s="5"/>
      <c r="G2" s="5" t="s">
        <v>154</v>
      </c>
      <c r="H2" s="5" t="s">
        <v>155</v>
      </c>
      <c r="I2" s="5" t="s">
        <v>14</v>
      </c>
      <c r="J2" s="5"/>
      <c r="K2" s="5"/>
      <c r="L2" s="5"/>
      <c r="M2" s="5"/>
      <c r="N2" s="5"/>
    </row>
    <row r="3" spans="1:249" s="61" customFormat="1" ht="58.5" hidden="1" customHeight="1" x14ac:dyDescent="0.2">
      <c r="O3" s="61" t="str">
        <f>IF(COUNTA(O4:O65536)=0,"","12")</f>
        <v>12</v>
      </c>
      <c r="P3" s="61" t="str">
        <f t="shared" ref="P3:CA3" si="0">IF(COUNTA(P4:P65536)=0,"","12")</f>
        <v/>
      </c>
      <c r="Q3" s="61" t="str">
        <f t="shared" si="0"/>
        <v/>
      </c>
      <c r="R3" s="61" t="str">
        <f t="shared" si="0"/>
        <v/>
      </c>
      <c r="S3" s="61" t="str">
        <f t="shared" si="0"/>
        <v/>
      </c>
      <c r="T3" s="61" t="str">
        <f t="shared" si="0"/>
        <v/>
      </c>
      <c r="U3" s="61" t="str">
        <f t="shared" si="0"/>
        <v/>
      </c>
      <c r="V3" s="61" t="str">
        <f t="shared" si="0"/>
        <v/>
      </c>
      <c r="W3" s="61" t="str">
        <f t="shared" si="0"/>
        <v/>
      </c>
      <c r="X3" s="61" t="str">
        <f t="shared" si="0"/>
        <v/>
      </c>
      <c r="Y3" s="61" t="str">
        <f t="shared" si="0"/>
        <v/>
      </c>
      <c r="Z3" s="61" t="str">
        <f t="shared" si="0"/>
        <v/>
      </c>
      <c r="AA3" s="61" t="str">
        <f t="shared" si="0"/>
        <v/>
      </c>
      <c r="AB3" s="61" t="str">
        <f t="shared" si="0"/>
        <v>12</v>
      </c>
      <c r="AC3" s="61" t="str">
        <f t="shared" si="0"/>
        <v>12</v>
      </c>
      <c r="AD3" s="61" t="str">
        <f t="shared" si="0"/>
        <v/>
      </c>
      <c r="AE3" s="61" t="str">
        <f t="shared" si="0"/>
        <v>12</v>
      </c>
      <c r="AF3" s="61" t="str">
        <f t="shared" si="0"/>
        <v>12</v>
      </c>
      <c r="AG3" s="61" t="str">
        <f t="shared" si="0"/>
        <v>12</v>
      </c>
      <c r="AH3" s="61" t="str">
        <f t="shared" si="0"/>
        <v>12</v>
      </c>
      <c r="AI3" s="61" t="str">
        <f t="shared" si="0"/>
        <v>12</v>
      </c>
      <c r="AJ3" s="61" t="str">
        <f t="shared" si="0"/>
        <v/>
      </c>
      <c r="AK3" s="61" t="str">
        <f t="shared" si="0"/>
        <v/>
      </c>
      <c r="AL3" s="61" t="str">
        <f t="shared" si="0"/>
        <v/>
      </c>
      <c r="AM3" s="61" t="str">
        <f t="shared" si="0"/>
        <v/>
      </c>
      <c r="AN3" s="61" t="str">
        <f t="shared" si="0"/>
        <v/>
      </c>
      <c r="AO3" s="61" t="str">
        <f t="shared" si="0"/>
        <v/>
      </c>
      <c r="AP3" s="61" t="str">
        <f t="shared" si="0"/>
        <v/>
      </c>
      <c r="AQ3" s="61" t="str">
        <f t="shared" si="0"/>
        <v/>
      </c>
      <c r="AR3" s="61" t="str">
        <f t="shared" si="0"/>
        <v/>
      </c>
      <c r="AS3" s="61" t="str">
        <f t="shared" si="0"/>
        <v/>
      </c>
      <c r="AT3" s="61" t="str">
        <f t="shared" si="0"/>
        <v/>
      </c>
      <c r="AU3" s="61" t="str">
        <f t="shared" si="0"/>
        <v/>
      </c>
      <c r="AV3" s="61" t="str">
        <f t="shared" si="0"/>
        <v/>
      </c>
      <c r="AW3" s="61" t="str">
        <f t="shared" si="0"/>
        <v/>
      </c>
      <c r="AX3" s="61" t="str">
        <f t="shared" si="0"/>
        <v/>
      </c>
      <c r="AY3" s="61" t="str">
        <f t="shared" si="0"/>
        <v/>
      </c>
      <c r="AZ3" s="61" t="str">
        <f t="shared" si="0"/>
        <v/>
      </c>
      <c r="BA3" s="61" t="str">
        <f t="shared" si="0"/>
        <v/>
      </c>
      <c r="BB3" s="61" t="str">
        <f t="shared" si="0"/>
        <v/>
      </c>
      <c r="BC3" s="61" t="str">
        <f t="shared" si="0"/>
        <v/>
      </c>
      <c r="BD3" s="61" t="str">
        <f t="shared" si="0"/>
        <v/>
      </c>
      <c r="BE3" s="61" t="str">
        <f t="shared" si="0"/>
        <v/>
      </c>
      <c r="BF3" s="61" t="str">
        <f t="shared" si="0"/>
        <v/>
      </c>
      <c r="BG3" s="61" t="str">
        <f t="shared" si="0"/>
        <v/>
      </c>
      <c r="BH3" s="61" t="str">
        <f t="shared" si="0"/>
        <v/>
      </c>
      <c r="BI3" s="61" t="str">
        <f t="shared" si="0"/>
        <v/>
      </c>
      <c r="BJ3" s="61" t="str">
        <f t="shared" si="0"/>
        <v/>
      </c>
      <c r="BK3" s="61" t="str">
        <f t="shared" si="0"/>
        <v/>
      </c>
      <c r="BL3" s="61" t="str">
        <f t="shared" si="0"/>
        <v/>
      </c>
      <c r="BM3" s="61" t="str">
        <f t="shared" si="0"/>
        <v/>
      </c>
      <c r="BN3" s="61" t="str">
        <f t="shared" si="0"/>
        <v/>
      </c>
      <c r="BO3" s="61" t="str">
        <f t="shared" si="0"/>
        <v/>
      </c>
      <c r="BP3" s="61" t="str">
        <f t="shared" si="0"/>
        <v/>
      </c>
      <c r="BQ3" s="61" t="str">
        <f t="shared" si="0"/>
        <v/>
      </c>
      <c r="BR3" s="61" t="str">
        <f t="shared" si="0"/>
        <v/>
      </c>
      <c r="BS3" s="61" t="str">
        <f t="shared" si="0"/>
        <v/>
      </c>
      <c r="BT3" s="61" t="str">
        <f t="shared" si="0"/>
        <v/>
      </c>
      <c r="BU3" s="61" t="str">
        <f t="shared" si="0"/>
        <v/>
      </c>
      <c r="BV3" s="61" t="str">
        <f t="shared" si="0"/>
        <v/>
      </c>
      <c r="BW3" s="61" t="str">
        <f t="shared" si="0"/>
        <v/>
      </c>
      <c r="BX3" s="61" t="str">
        <f t="shared" si="0"/>
        <v/>
      </c>
      <c r="BY3" s="61" t="str">
        <f t="shared" si="0"/>
        <v/>
      </c>
      <c r="BZ3" s="61" t="str">
        <f t="shared" si="0"/>
        <v/>
      </c>
      <c r="CA3" s="61" t="str">
        <f t="shared" si="0"/>
        <v/>
      </c>
      <c r="CB3" s="61" t="str">
        <f t="shared" ref="CB3:EM3" si="1">IF(COUNTA(CB4:CB65536)=0,"","12")</f>
        <v/>
      </c>
      <c r="CC3" s="61" t="str">
        <f t="shared" si="1"/>
        <v/>
      </c>
      <c r="CD3" s="61" t="str">
        <f t="shared" si="1"/>
        <v/>
      </c>
      <c r="CE3" s="61" t="str">
        <f t="shared" si="1"/>
        <v/>
      </c>
      <c r="CF3" s="61" t="str">
        <f t="shared" si="1"/>
        <v/>
      </c>
      <c r="CG3" s="61" t="str">
        <f t="shared" si="1"/>
        <v/>
      </c>
      <c r="CH3" s="61" t="str">
        <f t="shared" si="1"/>
        <v/>
      </c>
      <c r="CI3" s="61" t="str">
        <f t="shared" si="1"/>
        <v/>
      </c>
      <c r="CJ3" s="61" t="str">
        <f t="shared" si="1"/>
        <v/>
      </c>
      <c r="CK3" s="61" t="str">
        <f t="shared" si="1"/>
        <v/>
      </c>
      <c r="CL3" s="61" t="str">
        <f t="shared" si="1"/>
        <v/>
      </c>
      <c r="CM3" s="61" t="str">
        <f t="shared" si="1"/>
        <v/>
      </c>
      <c r="CN3" s="61" t="str">
        <f t="shared" si="1"/>
        <v/>
      </c>
      <c r="CO3" s="61" t="str">
        <f t="shared" si="1"/>
        <v/>
      </c>
      <c r="CP3" s="61" t="str">
        <f t="shared" si="1"/>
        <v/>
      </c>
      <c r="CQ3" s="61" t="str">
        <f t="shared" si="1"/>
        <v>12</v>
      </c>
      <c r="CR3" s="61" t="str">
        <f t="shared" si="1"/>
        <v/>
      </c>
      <c r="CS3" s="61" t="str">
        <f t="shared" si="1"/>
        <v/>
      </c>
      <c r="CT3" s="61" t="str">
        <f t="shared" si="1"/>
        <v/>
      </c>
      <c r="CU3" s="61" t="str">
        <f t="shared" si="1"/>
        <v/>
      </c>
      <c r="CV3" s="61" t="str">
        <f t="shared" si="1"/>
        <v/>
      </c>
      <c r="CW3" s="61" t="str">
        <f t="shared" si="1"/>
        <v/>
      </c>
      <c r="CX3" s="61" t="str">
        <f t="shared" si="1"/>
        <v/>
      </c>
      <c r="CY3" s="61" t="str">
        <f t="shared" si="1"/>
        <v/>
      </c>
      <c r="CZ3" s="61" t="str">
        <f t="shared" si="1"/>
        <v/>
      </c>
      <c r="DA3" s="61" t="str">
        <f t="shared" si="1"/>
        <v/>
      </c>
      <c r="DB3" s="61" t="str">
        <f t="shared" si="1"/>
        <v/>
      </c>
      <c r="DC3" s="61" t="str">
        <f t="shared" si="1"/>
        <v/>
      </c>
      <c r="DD3" s="61" t="str">
        <f t="shared" si="1"/>
        <v/>
      </c>
      <c r="DE3" s="61" t="str">
        <f t="shared" si="1"/>
        <v/>
      </c>
      <c r="DF3" s="61" t="str">
        <f t="shared" si="1"/>
        <v/>
      </c>
      <c r="DG3" s="61" t="str">
        <f t="shared" si="1"/>
        <v/>
      </c>
      <c r="DH3" s="61" t="str">
        <f t="shared" si="1"/>
        <v/>
      </c>
      <c r="DI3" s="61" t="str">
        <f t="shared" si="1"/>
        <v/>
      </c>
      <c r="DJ3" s="61" t="str">
        <f t="shared" si="1"/>
        <v/>
      </c>
      <c r="DK3" s="61" t="str">
        <f t="shared" si="1"/>
        <v/>
      </c>
      <c r="DL3" s="61" t="str">
        <f t="shared" si="1"/>
        <v/>
      </c>
      <c r="DM3" s="61" t="str">
        <f t="shared" si="1"/>
        <v/>
      </c>
      <c r="DN3" s="61" t="str">
        <f t="shared" si="1"/>
        <v/>
      </c>
      <c r="DO3" s="61" t="str">
        <f t="shared" si="1"/>
        <v/>
      </c>
      <c r="DP3" s="61" t="str">
        <f t="shared" si="1"/>
        <v/>
      </c>
      <c r="DQ3" s="61" t="str">
        <f t="shared" si="1"/>
        <v/>
      </c>
      <c r="DR3" s="61" t="str">
        <f t="shared" si="1"/>
        <v/>
      </c>
      <c r="DS3" s="61" t="str">
        <f t="shared" si="1"/>
        <v/>
      </c>
      <c r="DT3" s="61" t="str">
        <f t="shared" si="1"/>
        <v/>
      </c>
      <c r="DU3" s="61" t="str">
        <f t="shared" si="1"/>
        <v/>
      </c>
      <c r="DV3" s="61" t="str">
        <f t="shared" si="1"/>
        <v/>
      </c>
      <c r="DW3" s="61" t="str">
        <f t="shared" si="1"/>
        <v/>
      </c>
      <c r="DX3" s="61" t="str">
        <f t="shared" si="1"/>
        <v/>
      </c>
      <c r="DY3" s="61" t="str">
        <f t="shared" si="1"/>
        <v/>
      </c>
      <c r="DZ3" s="61" t="str">
        <f t="shared" si="1"/>
        <v/>
      </c>
      <c r="EA3" s="61" t="str">
        <f t="shared" si="1"/>
        <v/>
      </c>
      <c r="EB3" s="61" t="str">
        <f t="shared" si="1"/>
        <v/>
      </c>
      <c r="EC3" s="61" t="str">
        <f t="shared" si="1"/>
        <v/>
      </c>
      <c r="ED3" s="61" t="str">
        <f t="shared" si="1"/>
        <v/>
      </c>
      <c r="EE3" s="61" t="str">
        <f t="shared" si="1"/>
        <v/>
      </c>
      <c r="EF3" s="61" t="str">
        <f t="shared" si="1"/>
        <v/>
      </c>
      <c r="EG3" s="61" t="str">
        <f t="shared" si="1"/>
        <v/>
      </c>
      <c r="EH3" s="61" t="str">
        <f t="shared" si="1"/>
        <v/>
      </c>
      <c r="EI3" s="61" t="str">
        <f t="shared" si="1"/>
        <v/>
      </c>
      <c r="EJ3" s="61" t="str">
        <f t="shared" si="1"/>
        <v/>
      </c>
      <c r="EK3" s="61" t="str">
        <f t="shared" si="1"/>
        <v/>
      </c>
      <c r="EL3" s="61" t="str">
        <f t="shared" si="1"/>
        <v/>
      </c>
      <c r="EM3" s="61" t="str">
        <f t="shared" si="1"/>
        <v/>
      </c>
      <c r="EN3" s="61" t="str">
        <f t="shared" ref="EN3:GY3" si="2">IF(COUNTA(EN4:EN65536)=0,"","12")</f>
        <v/>
      </c>
      <c r="EO3" s="61" t="str">
        <f t="shared" si="2"/>
        <v/>
      </c>
      <c r="EP3" s="61" t="str">
        <f t="shared" si="2"/>
        <v/>
      </c>
      <c r="EQ3" s="61" t="str">
        <f t="shared" si="2"/>
        <v/>
      </c>
      <c r="ER3" s="61" t="str">
        <f t="shared" si="2"/>
        <v/>
      </c>
      <c r="ES3" s="61" t="str">
        <f t="shared" si="2"/>
        <v/>
      </c>
      <c r="ET3" s="61" t="str">
        <f t="shared" si="2"/>
        <v/>
      </c>
      <c r="EU3" s="61" t="str">
        <f t="shared" si="2"/>
        <v/>
      </c>
      <c r="EV3" s="61" t="str">
        <f t="shared" si="2"/>
        <v/>
      </c>
      <c r="EW3" s="61" t="str">
        <f t="shared" si="2"/>
        <v/>
      </c>
      <c r="EX3" s="61" t="str">
        <f t="shared" si="2"/>
        <v/>
      </c>
      <c r="EY3" s="61" t="str">
        <f t="shared" si="2"/>
        <v/>
      </c>
      <c r="EZ3" s="61" t="str">
        <f t="shared" si="2"/>
        <v/>
      </c>
      <c r="FA3" s="61" t="str">
        <f t="shared" si="2"/>
        <v/>
      </c>
      <c r="FB3" s="61" t="str">
        <f t="shared" si="2"/>
        <v/>
      </c>
      <c r="FC3" s="61" t="str">
        <f t="shared" si="2"/>
        <v/>
      </c>
      <c r="FD3" s="61" t="str">
        <f t="shared" si="2"/>
        <v/>
      </c>
      <c r="FE3" s="61" t="str">
        <f t="shared" si="2"/>
        <v/>
      </c>
      <c r="FF3" s="61" t="str">
        <f t="shared" si="2"/>
        <v/>
      </c>
      <c r="FG3" s="61" t="str">
        <f t="shared" si="2"/>
        <v/>
      </c>
      <c r="FH3" s="61" t="str">
        <f t="shared" si="2"/>
        <v/>
      </c>
      <c r="FI3" s="61" t="str">
        <f t="shared" si="2"/>
        <v/>
      </c>
      <c r="FJ3" s="61" t="str">
        <f t="shared" si="2"/>
        <v/>
      </c>
      <c r="FK3" s="61" t="str">
        <f t="shared" si="2"/>
        <v/>
      </c>
      <c r="FL3" s="61" t="str">
        <f t="shared" si="2"/>
        <v/>
      </c>
      <c r="FM3" s="61" t="str">
        <f t="shared" si="2"/>
        <v/>
      </c>
      <c r="FN3" s="61" t="str">
        <f t="shared" si="2"/>
        <v/>
      </c>
      <c r="FO3" s="61" t="str">
        <f t="shared" si="2"/>
        <v/>
      </c>
      <c r="FP3" s="61" t="str">
        <f t="shared" si="2"/>
        <v/>
      </c>
      <c r="FQ3" s="61" t="str">
        <f t="shared" si="2"/>
        <v/>
      </c>
      <c r="FR3" s="61" t="str">
        <f t="shared" si="2"/>
        <v/>
      </c>
      <c r="FS3" s="61" t="str">
        <f t="shared" si="2"/>
        <v/>
      </c>
      <c r="FT3" s="61" t="str">
        <f t="shared" si="2"/>
        <v/>
      </c>
      <c r="FU3" s="61" t="str">
        <f t="shared" si="2"/>
        <v/>
      </c>
      <c r="FV3" s="61" t="str">
        <f t="shared" si="2"/>
        <v/>
      </c>
      <c r="FW3" s="61" t="str">
        <f t="shared" si="2"/>
        <v/>
      </c>
      <c r="FX3" s="61" t="str">
        <f t="shared" si="2"/>
        <v/>
      </c>
      <c r="FY3" s="61" t="str">
        <f t="shared" si="2"/>
        <v/>
      </c>
      <c r="FZ3" s="61" t="str">
        <f t="shared" si="2"/>
        <v/>
      </c>
      <c r="GA3" s="61" t="str">
        <f t="shared" si="2"/>
        <v/>
      </c>
      <c r="GB3" s="61" t="str">
        <f t="shared" si="2"/>
        <v/>
      </c>
      <c r="GC3" s="61" t="str">
        <f t="shared" si="2"/>
        <v/>
      </c>
      <c r="GD3" s="61" t="str">
        <f t="shared" si="2"/>
        <v/>
      </c>
      <c r="GE3" s="61" t="str">
        <f t="shared" si="2"/>
        <v/>
      </c>
      <c r="GF3" s="61" t="str">
        <f t="shared" si="2"/>
        <v/>
      </c>
      <c r="GG3" s="61" t="str">
        <f t="shared" si="2"/>
        <v/>
      </c>
      <c r="GH3" s="61" t="str">
        <f t="shared" si="2"/>
        <v/>
      </c>
      <c r="GI3" s="61" t="str">
        <f t="shared" si="2"/>
        <v/>
      </c>
      <c r="GJ3" s="61" t="str">
        <f t="shared" si="2"/>
        <v/>
      </c>
      <c r="GK3" s="61" t="str">
        <f t="shared" si="2"/>
        <v/>
      </c>
      <c r="GL3" s="61" t="str">
        <f t="shared" si="2"/>
        <v/>
      </c>
      <c r="GM3" s="61" t="str">
        <f t="shared" si="2"/>
        <v/>
      </c>
      <c r="GN3" s="61" t="str">
        <f t="shared" si="2"/>
        <v/>
      </c>
      <c r="GO3" s="61" t="str">
        <f t="shared" si="2"/>
        <v/>
      </c>
      <c r="GP3" s="61" t="str">
        <f t="shared" si="2"/>
        <v/>
      </c>
      <c r="GQ3" s="61" t="str">
        <f t="shared" si="2"/>
        <v/>
      </c>
      <c r="GR3" s="61" t="str">
        <f t="shared" si="2"/>
        <v/>
      </c>
      <c r="GS3" s="61" t="str">
        <f t="shared" si="2"/>
        <v/>
      </c>
      <c r="GT3" s="61" t="str">
        <f t="shared" si="2"/>
        <v/>
      </c>
      <c r="GU3" s="61" t="str">
        <f t="shared" si="2"/>
        <v/>
      </c>
      <c r="GV3" s="61" t="str">
        <f t="shared" si="2"/>
        <v/>
      </c>
      <c r="GW3" s="61" t="str">
        <f t="shared" si="2"/>
        <v/>
      </c>
      <c r="GX3" s="61" t="str">
        <f t="shared" si="2"/>
        <v/>
      </c>
      <c r="GY3" s="61" t="str">
        <f t="shared" si="2"/>
        <v/>
      </c>
      <c r="GZ3" s="61" t="str">
        <f t="shared" ref="GZ3:IO3" si="3">IF(COUNTA(GZ4:GZ65536)=0,"","12")</f>
        <v/>
      </c>
      <c r="HA3" s="61" t="str">
        <f t="shared" si="3"/>
        <v/>
      </c>
      <c r="HB3" s="61" t="str">
        <f t="shared" si="3"/>
        <v/>
      </c>
      <c r="HC3" s="61" t="str">
        <f t="shared" si="3"/>
        <v/>
      </c>
      <c r="HD3" s="61" t="str">
        <f t="shared" si="3"/>
        <v/>
      </c>
      <c r="HE3" s="61" t="str">
        <f t="shared" si="3"/>
        <v/>
      </c>
      <c r="HF3" s="61" t="str">
        <f t="shared" si="3"/>
        <v/>
      </c>
      <c r="HG3" s="61" t="str">
        <f t="shared" si="3"/>
        <v/>
      </c>
      <c r="HH3" s="61" t="str">
        <f t="shared" si="3"/>
        <v/>
      </c>
      <c r="HI3" s="61" t="str">
        <f t="shared" si="3"/>
        <v/>
      </c>
      <c r="HJ3" s="61" t="str">
        <f t="shared" si="3"/>
        <v/>
      </c>
      <c r="HK3" s="61" t="str">
        <f t="shared" si="3"/>
        <v/>
      </c>
      <c r="HL3" s="61" t="str">
        <f t="shared" si="3"/>
        <v/>
      </c>
      <c r="HM3" s="61" t="str">
        <f t="shared" si="3"/>
        <v/>
      </c>
      <c r="HN3" s="61" t="str">
        <f t="shared" si="3"/>
        <v/>
      </c>
      <c r="HO3" s="61" t="str">
        <f t="shared" si="3"/>
        <v/>
      </c>
      <c r="HP3" s="61" t="str">
        <f t="shared" si="3"/>
        <v/>
      </c>
      <c r="HQ3" s="61" t="str">
        <f t="shared" si="3"/>
        <v/>
      </c>
      <c r="HR3" s="61" t="str">
        <f t="shared" si="3"/>
        <v/>
      </c>
      <c r="HS3" s="61" t="str">
        <f t="shared" si="3"/>
        <v/>
      </c>
      <c r="HT3" s="61" t="str">
        <f t="shared" si="3"/>
        <v/>
      </c>
      <c r="HU3" s="61" t="str">
        <f t="shared" si="3"/>
        <v/>
      </c>
      <c r="HV3" s="61" t="str">
        <f t="shared" si="3"/>
        <v/>
      </c>
      <c r="HW3" s="61" t="str">
        <f t="shared" si="3"/>
        <v/>
      </c>
      <c r="HX3" s="61" t="str">
        <f t="shared" si="3"/>
        <v/>
      </c>
      <c r="HY3" s="61" t="str">
        <f t="shared" si="3"/>
        <v/>
      </c>
      <c r="HZ3" s="61" t="str">
        <f t="shared" si="3"/>
        <v/>
      </c>
      <c r="IA3" s="61" t="str">
        <f t="shared" si="3"/>
        <v/>
      </c>
      <c r="IB3" s="61" t="str">
        <f t="shared" si="3"/>
        <v/>
      </c>
      <c r="IC3" s="61" t="str">
        <f t="shared" si="3"/>
        <v/>
      </c>
      <c r="ID3" s="61" t="str">
        <f t="shared" si="3"/>
        <v/>
      </c>
      <c r="IE3" s="61" t="str">
        <f t="shared" si="3"/>
        <v/>
      </c>
      <c r="IF3" s="61" t="str">
        <f t="shared" si="3"/>
        <v/>
      </c>
      <c r="IG3" s="61" t="str">
        <f t="shared" si="3"/>
        <v/>
      </c>
      <c r="IH3" s="61" t="str">
        <f t="shared" si="3"/>
        <v/>
      </c>
      <c r="II3" s="61" t="str">
        <f t="shared" si="3"/>
        <v/>
      </c>
      <c r="IJ3" s="61" t="str">
        <f t="shared" si="3"/>
        <v/>
      </c>
      <c r="IK3" s="61" t="str">
        <f t="shared" si="3"/>
        <v/>
      </c>
      <c r="IL3" s="61" t="str">
        <f t="shared" si="3"/>
        <v/>
      </c>
      <c r="IM3" s="61" t="str">
        <f t="shared" si="3"/>
        <v/>
      </c>
      <c r="IN3" s="61" t="str">
        <f t="shared" si="3"/>
        <v/>
      </c>
      <c r="IO3" s="61" t="str">
        <f t="shared" si="3"/>
        <v/>
      </c>
    </row>
    <row r="4" spans="1:249" s="12" customFormat="1" x14ac:dyDescent="0.2">
      <c r="A4" s="11" t="s">
        <v>7599</v>
      </c>
      <c r="B4" s="12" t="s">
        <v>6195</v>
      </c>
      <c r="D4" s="12" t="s">
        <v>6390</v>
      </c>
      <c r="E4" s="12" t="s">
        <v>11</v>
      </c>
      <c r="G4" s="12" t="s">
        <v>6198</v>
      </c>
      <c r="J4" s="12" t="s">
        <v>6199</v>
      </c>
      <c r="K4" s="12">
        <v>1989</v>
      </c>
      <c r="L4" s="12" t="s">
        <v>6200</v>
      </c>
      <c r="M4" s="12" t="s">
        <v>6201</v>
      </c>
      <c r="N4" s="12">
        <v>1.1000000000000001</v>
      </c>
      <c r="O4" s="12">
        <v>30</v>
      </c>
      <c r="AB4" s="14">
        <v>12</v>
      </c>
      <c r="AC4" s="12">
        <v>0.3</v>
      </c>
      <c r="AF4" s="13"/>
      <c r="AH4" s="12">
        <v>117</v>
      </c>
      <c r="AI4" s="12">
        <v>1.4</v>
      </c>
      <c r="CQ4" s="12">
        <v>0.55000000000000004</v>
      </c>
    </row>
    <row r="5" spans="1:249" s="12" customFormat="1" x14ac:dyDescent="0.2">
      <c r="A5" s="11" t="s">
        <v>7600</v>
      </c>
      <c r="B5" s="12" t="s">
        <v>6195</v>
      </c>
      <c r="D5" s="12" t="s">
        <v>6391</v>
      </c>
      <c r="E5" s="12" t="s">
        <v>11</v>
      </c>
      <c r="G5" s="12" t="s">
        <v>6198</v>
      </c>
      <c r="J5" s="12" t="s">
        <v>6199</v>
      </c>
      <c r="K5" s="12">
        <v>1989</v>
      </c>
      <c r="L5" s="12" t="s">
        <v>6200</v>
      </c>
      <c r="M5" s="12" t="s">
        <v>6201</v>
      </c>
      <c r="N5" s="12">
        <v>1.1000000000000001</v>
      </c>
      <c r="O5" s="12">
        <v>45</v>
      </c>
      <c r="AB5" s="14" t="s">
        <v>6202</v>
      </c>
      <c r="AC5" s="12">
        <v>0.1</v>
      </c>
      <c r="AE5" s="12">
        <v>121</v>
      </c>
      <c r="AF5" s="13">
        <v>50</v>
      </c>
      <c r="AG5" s="12">
        <v>220</v>
      </c>
      <c r="AH5" s="12">
        <v>115</v>
      </c>
      <c r="AI5" s="12">
        <v>1.1000000000000001</v>
      </c>
      <c r="CQ5" s="12">
        <v>0.15</v>
      </c>
    </row>
    <row r="6" spans="1:249" s="12" customFormat="1" x14ac:dyDescent="0.2">
      <c r="A6" s="11" t="s">
        <v>7601</v>
      </c>
      <c r="B6" s="12" t="s">
        <v>6195</v>
      </c>
      <c r="D6" s="12" t="s">
        <v>6392</v>
      </c>
      <c r="E6" s="12" t="s">
        <v>11</v>
      </c>
      <c r="G6" s="12" t="s">
        <v>6198</v>
      </c>
      <c r="J6" s="12" t="s">
        <v>6199</v>
      </c>
      <c r="K6" s="12">
        <v>1989</v>
      </c>
      <c r="L6" s="12" t="s">
        <v>6200</v>
      </c>
      <c r="M6" s="12" t="s">
        <v>6201</v>
      </c>
      <c r="N6" s="12">
        <v>1.1000000000000001</v>
      </c>
      <c r="O6" s="12">
        <v>27</v>
      </c>
      <c r="AB6" s="12">
        <v>5</v>
      </c>
      <c r="AE6" s="12">
        <v>350</v>
      </c>
      <c r="AF6" s="13">
        <v>54</v>
      </c>
      <c r="AG6" s="12">
        <v>95</v>
      </c>
      <c r="AH6" s="12">
        <v>203</v>
      </c>
      <c r="AI6" s="12">
        <v>1.2</v>
      </c>
      <c r="CQ6" s="12">
        <v>0.44</v>
      </c>
    </row>
    <row r="7" spans="1:249" s="12" customFormat="1" x14ac:dyDescent="0.2">
      <c r="A7" s="11" t="s">
        <v>7602</v>
      </c>
      <c r="B7" s="12" t="s">
        <v>6195</v>
      </c>
      <c r="D7" s="12" t="s">
        <v>6393</v>
      </c>
      <c r="E7" s="12" t="s">
        <v>11</v>
      </c>
      <c r="G7" s="12" t="s">
        <v>6198</v>
      </c>
      <c r="J7" s="12" t="s">
        <v>6199</v>
      </c>
      <c r="K7" s="12">
        <v>1989</v>
      </c>
      <c r="L7" s="12" t="s">
        <v>6200</v>
      </c>
      <c r="M7" s="12" t="s">
        <v>6201</v>
      </c>
      <c r="N7" s="12">
        <v>1.1000000000000001</v>
      </c>
      <c r="O7" s="12">
        <v>70</v>
      </c>
      <c r="AB7" s="12">
        <v>3</v>
      </c>
      <c r="AF7" s="13"/>
      <c r="AH7" s="12">
        <v>51</v>
      </c>
      <c r="AI7" s="12">
        <v>0.3</v>
      </c>
      <c r="CQ7" s="12">
        <v>0.26</v>
      </c>
    </row>
    <row r="8" spans="1:249" s="12" customFormat="1" x14ac:dyDescent="0.2">
      <c r="A8" s="11" t="s">
        <v>7603</v>
      </c>
      <c r="B8" s="12" t="s">
        <v>6195</v>
      </c>
      <c r="D8" s="12" t="s">
        <v>6394</v>
      </c>
      <c r="E8" s="12" t="s">
        <v>7</v>
      </c>
      <c r="F8" s="12" t="s">
        <v>6395</v>
      </c>
      <c r="G8" s="12" t="s">
        <v>6198</v>
      </c>
      <c r="J8" s="12" t="s">
        <v>6199</v>
      </c>
      <c r="K8" s="12">
        <v>1989</v>
      </c>
      <c r="L8" s="12" t="s">
        <v>6200</v>
      </c>
      <c r="M8" s="12" t="s">
        <v>6201</v>
      </c>
      <c r="N8" s="12">
        <v>1.1000000000000001</v>
      </c>
      <c r="O8" s="12">
        <v>90</v>
      </c>
      <c r="AB8" s="12">
        <v>8</v>
      </c>
      <c r="AF8" s="13"/>
      <c r="AH8" s="12">
        <v>18</v>
      </c>
      <c r="CQ8" s="12">
        <v>0.61</v>
      </c>
    </row>
    <row r="9" spans="1:249" s="12" customFormat="1" x14ac:dyDescent="0.2">
      <c r="A9" s="11" t="s">
        <v>7604</v>
      </c>
      <c r="B9" s="12" t="s">
        <v>6267</v>
      </c>
      <c r="D9" s="12" t="s">
        <v>6396</v>
      </c>
      <c r="E9" s="12" t="s">
        <v>11</v>
      </c>
      <c r="G9" s="12" t="s">
        <v>6198</v>
      </c>
      <c r="J9" s="12" t="s">
        <v>6199</v>
      </c>
      <c r="K9" s="12">
        <v>1989</v>
      </c>
      <c r="L9" s="12" t="s">
        <v>6200</v>
      </c>
      <c r="M9" s="12" t="s">
        <v>6201</v>
      </c>
      <c r="N9" s="12">
        <v>1.1000000000000001</v>
      </c>
      <c r="O9" s="12">
        <v>35</v>
      </c>
      <c r="AB9" s="12">
        <v>8</v>
      </c>
      <c r="AC9" s="12">
        <v>0.01</v>
      </c>
      <c r="AE9" s="12">
        <v>23</v>
      </c>
      <c r="AF9" s="13">
        <v>6</v>
      </c>
      <c r="AG9" s="14" t="s">
        <v>6202</v>
      </c>
      <c r="AH9" s="12">
        <v>8</v>
      </c>
      <c r="AI9" s="12">
        <v>0.06</v>
      </c>
      <c r="CQ9" s="12">
        <v>0.64</v>
      </c>
    </row>
    <row r="10" spans="1:249" s="12" customFormat="1" x14ac:dyDescent="0.2">
      <c r="A10"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Q371"/>
  <sheetViews>
    <sheetView zoomScaleNormal="100" workbookViewId="0">
      <pane ySplit="5" topLeftCell="A6" activePane="bottomLeft" state="frozen"/>
      <selection pane="bottomLeft"/>
    </sheetView>
  </sheetViews>
  <sheetFormatPr defaultColWidth="11.42578125" defaultRowHeight="12.75" x14ac:dyDescent="0.2"/>
  <cols>
    <col min="1" max="1" width="22.28515625" style="1" customWidth="1"/>
    <col min="2" max="4" width="11.42578125" style="1"/>
    <col min="5" max="5" width="35.85546875" style="1" customWidth="1"/>
    <col min="6" max="16384" width="11.42578125" style="1"/>
  </cols>
  <sheetData>
    <row r="1" spans="1:17" x14ac:dyDescent="0.2">
      <c r="A1" s="2" t="s">
        <v>6693</v>
      </c>
    </row>
    <row r="4" spans="1:17" s="8" customFormat="1" ht="25.5" x14ac:dyDescent="0.2">
      <c r="A4" s="8" t="s">
        <v>5549</v>
      </c>
      <c r="B4" s="8" t="s">
        <v>5550</v>
      </c>
      <c r="C4" s="8" t="s">
        <v>5551</v>
      </c>
      <c r="D4" s="8" t="s">
        <v>5552</v>
      </c>
      <c r="E4" s="8" t="s">
        <v>5553</v>
      </c>
      <c r="F4" s="9" t="s">
        <v>5554</v>
      </c>
      <c r="G4" s="9" t="s">
        <v>5555</v>
      </c>
      <c r="H4" s="9" t="s">
        <v>5556</v>
      </c>
      <c r="I4" s="9" t="s">
        <v>5557</v>
      </c>
      <c r="J4" s="9" t="s">
        <v>5558</v>
      </c>
      <c r="K4" s="9" t="s">
        <v>5559</v>
      </c>
      <c r="L4" s="9" t="s">
        <v>5560</v>
      </c>
      <c r="M4" s="9" t="s">
        <v>5561</v>
      </c>
      <c r="N4" s="9" t="s">
        <v>5562</v>
      </c>
      <c r="O4" s="9" t="s">
        <v>5563</v>
      </c>
      <c r="P4" s="9" t="s">
        <v>5564</v>
      </c>
      <c r="Q4" s="9" t="s">
        <v>5565</v>
      </c>
    </row>
    <row r="5" spans="1:17" s="8" customFormat="1" x14ac:dyDescent="0.2">
      <c r="F5" s="9" t="s">
        <v>36</v>
      </c>
      <c r="G5" s="9" t="s">
        <v>38</v>
      </c>
      <c r="H5" s="9" t="s">
        <v>40</v>
      </c>
      <c r="I5" s="9" t="s">
        <v>42</v>
      </c>
      <c r="J5" s="9" t="s">
        <v>44</v>
      </c>
      <c r="K5" s="9" t="s">
        <v>46</v>
      </c>
      <c r="L5" s="9" t="s">
        <v>48</v>
      </c>
      <c r="M5" s="9" t="s">
        <v>50</v>
      </c>
      <c r="N5" s="9" t="s">
        <v>52</v>
      </c>
      <c r="O5" s="9" t="s">
        <v>58</v>
      </c>
      <c r="P5" s="9" t="s">
        <v>60</v>
      </c>
      <c r="Q5" s="9">
        <v>12</v>
      </c>
    </row>
    <row r="6" spans="1:17" x14ac:dyDescent="0.2">
      <c r="A6" s="7" t="s">
        <v>5566</v>
      </c>
    </row>
    <row r="7" spans="1:17" x14ac:dyDescent="0.2">
      <c r="A7" s="1" t="s">
        <v>1069</v>
      </c>
      <c r="B7" s="1" t="s">
        <v>1136</v>
      </c>
      <c r="D7" s="1" t="s">
        <v>5567</v>
      </c>
      <c r="E7" s="1" t="s">
        <v>52</v>
      </c>
      <c r="F7" s="1" t="s">
        <v>4518</v>
      </c>
      <c r="G7" s="1" t="s">
        <v>4518</v>
      </c>
      <c r="H7" s="1" t="s">
        <v>4518</v>
      </c>
      <c r="I7" s="1" t="s">
        <v>4518</v>
      </c>
      <c r="J7" s="1" t="s">
        <v>4518</v>
      </c>
      <c r="K7" s="1" t="s">
        <v>4518</v>
      </c>
      <c r="L7" s="1" t="s">
        <v>4518</v>
      </c>
      <c r="M7" s="1" t="s">
        <v>4518</v>
      </c>
      <c r="N7" s="1" t="s">
        <v>5568</v>
      </c>
      <c r="O7" s="1" t="s">
        <v>4518</v>
      </c>
      <c r="P7" s="1" t="s">
        <v>4518</v>
      </c>
      <c r="Q7" s="1" t="s">
        <v>4518</v>
      </c>
    </row>
    <row r="8" spans="1:17" x14ac:dyDescent="0.2">
      <c r="A8" s="1" t="s">
        <v>6263</v>
      </c>
      <c r="B8" s="69" t="s">
        <v>7613</v>
      </c>
      <c r="E8" s="1" t="s">
        <v>7442</v>
      </c>
      <c r="F8" s="1" t="s">
        <v>4518</v>
      </c>
      <c r="G8" s="1" t="s">
        <v>5568</v>
      </c>
      <c r="H8" s="1" t="s">
        <v>4518</v>
      </c>
      <c r="I8" s="1" t="s">
        <v>4518</v>
      </c>
      <c r="J8" s="1" t="s">
        <v>5568</v>
      </c>
      <c r="K8" s="1" t="s">
        <v>4518</v>
      </c>
      <c r="L8" s="1" t="s">
        <v>4518</v>
      </c>
      <c r="M8" s="1" t="s">
        <v>4518</v>
      </c>
      <c r="N8" s="1" t="s">
        <v>4518</v>
      </c>
      <c r="O8" s="1" t="s">
        <v>4518</v>
      </c>
      <c r="P8" s="1" t="s">
        <v>4518</v>
      </c>
      <c r="Q8" s="1" t="s">
        <v>4518</v>
      </c>
    </row>
    <row r="9" spans="1:17" x14ac:dyDescent="0.2">
      <c r="A9" s="7" t="s">
        <v>5569</v>
      </c>
      <c r="F9" s="1" t="s">
        <v>4518</v>
      </c>
      <c r="G9" s="1" t="s">
        <v>4518</v>
      </c>
      <c r="H9" s="1" t="s">
        <v>4518</v>
      </c>
      <c r="I9" s="1" t="s">
        <v>4518</v>
      </c>
      <c r="J9" s="1" t="s">
        <v>4518</v>
      </c>
      <c r="K9" s="1" t="s">
        <v>4518</v>
      </c>
      <c r="L9" s="1" t="s">
        <v>4518</v>
      </c>
      <c r="M9" s="1" t="s">
        <v>4518</v>
      </c>
      <c r="N9" s="1" t="s">
        <v>4518</v>
      </c>
      <c r="O9" s="1" t="s">
        <v>4518</v>
      </c>
      <c r="P9" s="1" t="s">
        <v>4518</v>
      </c>
      <c r="Q9" s="1" t="s">
        <v>4518</v>
      </c>
    </row>
    <row r="10" spans="1:17" x14ac:dyDescent="0.2">
      <c r="B10" s="7" t="s">
        <v>5570</v>
      </c>
      <c r="F10" s="1" t="s">
        <v>4518</v>
      </c>
      <c r="G10" s="1" t="s">
        <v>4518</v>
      </c>
      <c r="H10" s="1" t="s">
        <v>4518</v>
      </c>
      <c r="I10" s="1" t="s">
        <v>4518</v>
      </c>
      <c r="J10" s="1" t="s">
        <v>4518</v>
      </c>
      <c r="K10" s="1" t="s">
        <v>4518</v>
      </c>
      <c r="L10" s="1" t="s">
        <v>4518</v>
      </c>
      <c r="M10" s="1" t="s">
        <v>4518</v>
      </c>
      <c r="N10" s="1" t="s">
        <v>4518</v>
      </c>
      <c r="O10" s="1" t="s">
        <v>4518</v>
      </c>
      <c r="P10" s="1" t="s">
        <v>4518</v>
      </c>
      <c r="Q10" s="1" t="s">
        <v>4518</v>
      </c>
    </row>
    <row r="11" spans="1:17" x14ac:dyDescent="0.2">
      <c r="A11" s="1" t="s">
        <v>243</v>
      </c>
      <c r="B11" s="1" t="s">
        <v>1137</v>
      </c>
      <c r="C11" s="1" t="s">
        <v>5571</v>
      </c>
      <c r="D11" s="1" t="s">
        <v>5572</v>
      </c>
      <c r="E11" s="1" t="s">
        <v>7445</v>
      </c>
      <c r="F11" s="1" t="s">
        <v>4518</v>
      </c>
      <c r="G11" s="1" t="s">
        <v>5568</v>
      </c>
      <c r="H11" s="1" t="s">
        <v>4518</v>
      </c>
      <c r="I11" s="1" t="s">
        <v>4518</v>
      </c>
      <c r="J11" s="1" t="s">
        <v>5568</v>
      </c>
      <c r="K11" s="1" t="s">
        <v>4518</v>
      </c>
      <c r="L11" s="1" t="s">
        <v>4518</v>
      </c>
      <c r="M11" s="1" t="s">
        <v>4518</v>
      </c>
      <c r="N11" s="1" t="s">
        <v>5568</v>
      </c>
      <c r="O11" s="1" t="s">
        <v>4518</v>
      </c>
      <c r="P11" s="1" t="s">
        <v>4518</v>
      </c>
      <c r="Q11" s="1" t="s">
        <v>4518</v>
      </c>
    </row>
    <row r="12" spans="1:17" x14ac:dyDescent="0.2">
      <c r="A12" s="1" t="s">
        <v>244</v>
      </c>
      <c r="B12" s="1" t="s">
        <v>1137</v>
      </c>
      <c r="C12" s="1" t="s">
        <v>5574</v>
      </c>
      <c r="D12" s="1" t="s">
        <v>5572</v>
      </c>
      <c r="E12" s="1" t="s">
        <v>7443</v>
      </c>
      <c r="F12" s="1" t="s">
        <v>5568</v>
      </c>
      <c r="G12" s="1" t="s">
        <v>5568</v>
      </c>
      <c r="H12" s="1" t="s">
        <v>4518</v>
      </c>
      <c r="I12" s="1" t="s">
        <v>4518</v>
      </c>
      <c r="J12" s="1" t="s">
        <v>5568</v>
      </c>
      <c r="K12" s="1" t="s">
        <v>4518</v>
      </c>
      <c r="L12" s="1" t="s">
        <v>4518</v>
      </c>
      <c r="M12" s="1" t="s">
        <v>4518</v>
      </c>
      <c r="N12" s="1" t="s">
        <v>5568</v>
      </c>
      <c r="O12" s="1" t="s">
        <v>4518</v>
      </c>
      <c r="P12" s="1" t="s">
        <v>4518</v>
      </c>
      <c r="Q12" s="1" t="s">
        <v>4518</v>
      </c>
    </row>
    <row r="13" spans="1:17" x14ac:dyDescent="0.2">
      <c r="A13" s="1" t="s">
        <v>6806</v>
      </c>
      <c r="B13" s="1" t="s">
        <v>1138</v>
      </c>
      <c r="C13" s="1" t="s">
        <v>5571</v>
      </c>
      <c r="E13" s="1" t="s">
        <v>36</v>
      </c>
      <c r="F13" s="1" t="s">
        <v>5568</v>
      </c>
      <c r="G13" s="1" t="s">
        <v>4518</v>
      </c>
      <c r="H13" s="1" t="s">
        <v>4518</v>
      </c>
      <c r="I13" s="1" t="s">
        <v>4518</v>
      </c>
      <c r="J13" s="1" t="s">
        <v>4518</v>
      </c>
      <c r="K13" s="1" t="s">
        <v>4518</v>
      </c>
      <c r="L13" s="1" t="s">
        <v>4518</v>
      </c>
      <c r="M13" s="1" t="s">
        <v>4518</v>
      </c>
      <c r="N13" s="1" t="s">
        <v>4518</v>
      </c>
      <c r="O13" s="1" t="s">
        <v>4518</v>
      </c>
      <c r="P13" s="1" t="s">
        <v>4518</v>
      </c>
      <c r="Q13" s="1" t="s">
        <v>4518</v>
      </c>
    </row>
    <row r="14" spans="1:17" x14ac:dyDescent="0.2">
      <c r="A14" s="1" t="s">
        <v>1070</v>
      </c>
      <c r="B14" s="1" t="s">
        <v>1138</v>
      </c>
      <c r="C14" s="1" t="s">
        <v>5574</v>
      </c>
      <c r="E14" s="1" t="s">
        <v>5589</v>
      </c>
      <c r="F14" s="1" t="s">
        <v>5568</v>
      </c>
      <c r="G14" s="1" t="s">
        <v>4518</v>
      </c>
      <c r="H14" s="1" t="s">
        <v>4518</v>
      </c>
      <c r="I14" s="1" t="s">
        <v>4518</v>
      </c>
      <c r="J14" s="1" t="s">
        <v>4518</v>
      </c>
      <c r="K14" s="1" t="s">
        <v>4518</v>
      </c>
      <c r="L14" s="1" t="s">
        <v>4518</v>
      </c>
      <c r="M14" s="1" t="s">
        <v>4518</v>
      </c>
      <c r="N14" s="1" t="s">
        <v>5568</v>
      </c>
      <c r="O14" s="1" t="s">
        <v>4518</v>
      </c>
      <c r="P14" s="1" t="s">
        <v>4518</v>
      </c>
      <c r="Q14" s="1" t="s">
        <v>4518</v>
      </c>
    </row>
    <row r="15" spans="1:17" x14ac:dyDescent="0.2">
      <c r="B15" s="7" t="s">
        <v>5575</v>
      </c>
      <c r="F15" s="1" t="s">
        <v>4518</v>
      </c>
      <c r="G15" s="1" t="s">
        <v>4518</v>
      </c>
      <c r="H15" s="1" t="s">
        <v>4518</v>
      </c>
      <c r="I15" s="1" t="s">
        <v>4518</v>
      </c>
      <c r="J15" s="1" t="s">
        <v>4518</v>
      </c>
      <c r="K15" s="1" t="s">
        <v>4518</v>
      </c>
      <c r="L15" s="1" t="s">
        <v>4518</v>
      </c>
      <c r="M15" s="1" t="s">
        <v>4518</v>
      </c>
      <c r="N15" s="1" t="s">
        <v>4518</v>
      </c>
      <c r="O15" s="1" t="s">
        <v>4518</v>
      </c>
      <c r="P15" s="1" t="s">
        <v>4518</v>
      </c>
      <c r="Q15" s="1" t="s">
        <v>4518</v>
      </c>
    </row>
    <row r="16" spans="1:17" x14ac:dyDescent="0.2">
      <c r="C16" s="7" t="s">
        <v>5576</v>
      </c>
      <c r="F16" s="1" t="s">
        <v>4518</v>
      </c>
      <c r="G16" s="1" t="s">
        <v>4518</v>
      </c>
      <c r="H16" s="1" t="s">
        <v>4518</v>
      </c>
      <c r="I16" s="1" t="s">
        <v>4518</v>
      </c>
      <c r="J16" s="1" t="s">
        <v>4518</v>
      </c>
      <c r="K16" s="1" t="s">
        <v>4518</v>
      </c>
      <c r="L16" s="1" t="s">
        <v>4518</v>
      </c>
      <c r="M16" s="1" t="s">
        <v>4518</v>
      </c>
      <c r="N16" s="1" t="s">
        <v>4518</v>
      </c>
      <c r="O16" s="1" t="s">
        <v>4518</v>
      </c>
      <c r="P16" s="1" t="s">
        <v>4518</v>
      </c>
      <c r="Q16" s="1" t="s">
        <v>4518</v>
      </c>
    </row>
    <row r="17" spans="1:17" x14ac:dyDescent="0.2">
      <c r="A17" s="1" t="s">
        <v>5577</v>
      </c>
      <c r="B17" s="1" t="s">
        <v>1188</v>
      </c>
      <c r="C17" s="1" t="s">
        <v>5578</v>
      </c>
      <c r="E17" s="1" t="s">
        <v>52</v>
      </c>
      <c r="F17" s="1" t="s">
        <v>4518</v>
      </c>
      <c r="G17" s="1" t="s">
        <v>4518</v>
      </c>
      <c r="H17" s="1" t="s">
        <v>4518</v>
      </c>
      <c r="I17" s="1" t="s">
        <v>4518</v>
      </c>
      <c r="J17" s="1" t="s">
        <v>4518</v>
      </c>
      <c r="K17" s="1" t="s">
        <v>4518</v>
      </c>
      <c r="L17" s="1" t="s">
        <v>4518</v>
      </c>
      <c r="M17" s="1" t="s">
        <v>4518</v>
      </c>
      <c r="N17" s="1" t="s">
        <v>5568</v>
      </c>
      <c r="O17" s="1" t="s">
        <v>4518</v>
      </c>
      <c r="P17" s="1" t="s">
        <v>4518</v>
      </c>
      <c r="Q17" s="1" t="s">
        <v>4518</v>
      </c>
    </row>
    <row r="18" spans="1:17" x14ac:dyDescent="0.2">
      <c r="A18" s="1" t="s">
        <v>5579</v>
      </c>
      <c r="B18" s="1" t="s">
        <v>1190</v>
      </c>
      <c r="C18" s="1" t="s">
        <v>5578</v>
      </c>
      <c r="D18" s="1" t="s">
        <v>5580</v>
      </c>
      <c r="E18" s="1" t="s">
        <v>52</v>
      </c>
      <c r="F18" s="1" t="s">
        <v>4518</v>
      </c>
      <c r="G18" s="1" t="s">
        <v>4518</v>
      </c>
      <c r="H18" s="1" t="s">
        <v>4518</v>
      </c>
      <c r="I18" s="1" t="s">
        <v>4518</v>
      </c>
      <c r="J18" s="1" t="s">
        <v>4518</v>
      </c>
      <c r="K18" s="1" t="s">
        <v>4518</v>
      </c>
      <c r="L18" s="1" t="s">
        <v>4518</v>
      </c>
      <c r="M18" s="1" t="s">
        <v>4518</v>
      </c>
      <c r="N18" s="1" t="s">
        <v>5568</v>
      </c>
      <c r="O18" s="1" t="s">
        <v>4518</v>
      </c>
      <c r="P18" s="1" t="s">
        <v>4518</v>
      </c>
      <c r="Q18" s="1" t="s">
        <v>4518</v>
      </c>
    </row>
    <row r="19" spans="1:17" x14ac:dyDescent="0.2">
      <c r="A19" s="1" t="s">
        <v>5581</v>
      </c>
      <c r="B19" s="1" t="s">
        <v>1189</v>
      </c>
      <c r="C19" s="1" t="s">
        <v>5578</v>
      </c>
      <c r="E19" s="1" t="s">
        <v>52</v>
      </c>
      <c r="F19" s="1" t="s">
        <v>4518</v>
      </c>
      <c r="G19" s="1" t="s">
        <v>4518</v>
      </c>
      <c r="H19" s="1" t="s">
        <v>4518</v>
      </c>
      <c r="I19" s="1" t="s">
        <v>4518</v>
      </c>
      <c r="J19" s="1" t="s">
        <v>4518</v>
      </c>
      <c r="K19" s="1" t="s">
        <v>4518</v>
      </c>
      <c r="L19" s="1" t="s">
        <v>4518</v>
      </c>
      <c r="M19" s="1" t="s">
        <v>4518</v>
      </c>
      <c r="N19" s="1" t="s">
        <v>5568</v>
      </c>
      <c r="O19" s="1" t="s">
        <v>4518</v>
      </c>
      <c r="P19" s="1" t="s">
        <v>4518</v>
      </c>
      <c r="Q19" s="1" t="s">
        <v>4518</v>
      </c>
    </row>
    <row r="20" spans="1:17" x14ac:dyDescent="0.2">
      <c r="A20" s="1" t="s">
        <v>5582</v>
      </c>
      <c r="B20" s="1" t="s">
        <v>300</v>
      </c>
      <c r="C20" s="1" t="s">
        <v>5578</v>
      </c>
      <c r="D20" s="1" t="s">
        <v>5583</v>
      </c>
      <c r="E20" s="1" t="s">
        <v>44</v>
      </c>
      <c r="F20" s="1" t="s">
        <v>4518</v>
      </c>
      <c r="G20" s="1" t="s">
        <v>4518</v>
      </c>
      <c r="H20" s="1" t="s">
        <v>4518</v>
      </c>
      <c r="I20" s="1" t="s">
        <v>4518</v>
      </c>
      <c r="J20" s="1" t="s">
        <v>5568</v>
      </c>
      <c r="K20" s="1" t="s">
        <v>4518</v>
      </c>
      <c r="L20" s="1" t="s">
        <v>4518</v>
      </c>
      <c r="M20" s="1" t="s">
        <v>4518</v>
      </c>
      <c r="N20" s="1" t="s">
        <v>4518</v>
      </c>
      <c r="O20" s="1" t="s">
        <v>4518</v>
      </c>
      <c r="P20" s="1" t="s">
        <v>4518</v>
      </c>
      <c r="Q20" s="1" t="s">
        <v>4518</v>
      </c>
    </row>
    <row r="21" spans="1:17" x14ac:dyDescent="0.2">
      <c r="A21" s="1" t="s">
        <v>5584</v>
      </c>
      <c r="B21" s="1" t="s">
        <v>217</v>
      </c>
      <c r="C21" s="1" t="s">
        <v>5578</v>
      </c>
      <c r="D21" s="1" t="s">
        <v>5585</v>
      </c>
      <c r="E21" s="1" t="s">
        <v>5586</v>
      </c>
      <c r="F21" s="1" t="s">
        <v>5568</v>
      </c>
      <c r="G21" s="1" t="s">
        <v>4518</v>
      </c>
      <c r="H21" s="1" t="s">
        <v>4518</v>
      </c>
      <c r="I21" s="1" t="s">
        <v>4518</v>
      </c>
      <c r="J21" s="1" t="s">
        <v>5568</v>
      </c>
      <c r="K21" s="1" t="s">
        <v>4518</v>
      </c>
      <c r="L21" s="1" t="s">
        <v>4518</v>
      </c>
      <c r="M21" s="1" t="s">
        <v>4518</v>
      </c>
      <c r="N21" s="1" t="s">
        <v>5568</v>
      </c>
      <c r="O21" s="1" t="s">
        <v>4518</v>
      </c>
      <c r="P21" s="1" t="s">
        <v>4518</v>
      </c>
      <c r="Q21" s="1" t="s">
        <v>4518</v>
      </c>
    </row>
    <row r="22" spans="1:17" x14ac:dyDescent="0.2">
      <c r="A22" s="1" t="s">
        <v>5587</v>
      </c>
      <c r="B22" s="1" t="s">
        <v>218</v>
      </c>
      <c r="C22" s="1" t="s">
        <v>5578</v>
      </c>
      <c r="D22" s="1" t="s">
        <v>5588</v>
      </c>
      <c r="E22" s="1" t="s">
        <v>5586</v>
      </c>
      <c r="F22" s="1" t="s">
        <v>5568</v>
      </c>
      <c r="G22" s="1" t="s">
        <v>4518</v>
      </c>
      <c r="H22" s="1" t="s">
        <v>4518</v>
      </c>
      <c r="I22" s="1" t="s">
        <v>4518</v>
      </c>
      <c r="J22" s="1" t="s">
        <v>5568</v>
      </c>
      <c r="K22" s="1" t="s">
        <v>4518</v>
      </c>
      <c r="L22" s="1" t="s">
        <v>4518</v>
      </c>
      <c r="M22" s="1" t="s">
        <v>4518</v>
      </c>
      <c r="N22" s="1" t="s">
        <v>5568</v>
      </c>
      <c r="O22" s="1" t="s">
        <v>4518</v>
      </c>
      <c r="P22" s="1" t="s">
        <v>4518</v>
      </c>
      <c r="Q22" s="1" t="s">
        <v>4518</v>
      </c>
    </row>
    <row r="23" spans="1:17" x14ac:dyDescent="0.2">
      <c r="A23" s="1" t="s">
        <v>5590</v>
      </c>
      <c r="B23" s="1" t="s">
        <v>301</v>
      </c>
      <c r="C23" s="1" t="s">
        <v>5578</v>
      </c>
      <c r="D23" s="1" t="s">
        <v>5591</v>
      </c>
      <c r="E23" s="1" t="s">
        <v>5586</v>
      </c>
      <c r="F23" s="1" t="s">
        <v>5568</v>
      </c>
      <c r="G23" s="1" t="s">
        <v>4518</v>
      </c>
      <c r="H23" s="1" t="s">
        <v>4518</v>
      </c>
      <c r="I23" s="1" t="s">
        <v>4518</v>
      </c>
      <c r="J23" s="1" t="s">
        <v>5568</v>
      </c>
      <c r="K23" s="1" t="s">
        <v>4518</v>
      </c>
      <c r="L23" s="1" t="s">
        <v>4518</v>
      </c>
      <c r="M23" s="1" t="s">
        <v>4518</v>
      </c>
      <c r="N23" s="1" t="s">
        <v>5568</v>
      </c>
      <c r="O23" s="1" t="s">
        <v>4518</v>
      </c>
      <c r="P23" s="1" t="s">
        <v>4518</v>
      </c>
      <c r="Q23" s="1" t="s">
        <v>4518</v>
      </c>
    </row>
    <row r="24" spans="1:17" x14ac:dyDescent="0.2">
      <c r="A24" s="1" t="s">
        <v>5592</v>
      </c>
      <c r="B24" s="1" t="s">
        <v>220</v>
      </c>
      <c r="C24" s="1" t="s">
        <v>5578</v>
      </c>
      <c r="D24" s="1" t="s">
        <v>5593</v>
      </c>
      <c r="E24" s="1" t="s">
        <v>5586</v>
      </c>
      <c r="F24" s="1" t="s">
        <v>5568</v>
      </c>
      <c r="G24" s="1" t="s">
        <v>4518</v>
      </c>
      <c r="H24" s="1" t="s">
        <v>4518</v>
      </c>
      <c r="I24" s="1" t="s">
        <v>4518</v>
      </c>
      <c r="J24" s="1" t="s">
        <v>5568</v>
      </c>
      <c r="K24" s="1" t="s">
        <v>4518</v>
      </c>
      <c r="L24" s="1" t="s">
        <v>4518</v>
      </c>
      <c r="M24" s="1" t="s">
        <v>4518</v>
      </c>
      <c r="N24" s="1" t="s">
        <v>5568</v>
      </c>
      <c r="O24" s="1" t="s">
        <v>4518</v>
      </c>
      <c r="P24" s="1" t="s">
        <v>4518</v>
      </c>
      <c r="Q24" s="1" t="s">
        <v>4518</v>
      </c>
    </row>
    <row r="25" spans="1:17" x14ac:dyDescent="0.2">
      <c r="A25" s="1" t="s">
        <v>5594</v>
      </c>
      <c r="B25" s="1" t="s">
        <v>1191</v>
      </c>
      <c r="C25" s="1" t="s">
        <v>5578</v>
      </c>
      <c r="D25" s="1" t="s">
        <v>5595</v>
      </c>
      <c r="E25" s="1" t="s">
        <v>52</v>
      </c>
      <c r="F25" s="1" t="s">
        <v>4518</v>
      </c>
      <c r="G25" s="1" t="s">
        <v>4518</v>
      </c>
      <c r="H25" s="1" t="s">
        <v>4518</v>
      </c>
      <c r="I25" s="1" t="s">
        <v>4518</v>
      </c>
      <c r="J25" s="1" t="s">
        <v>4518</v>
      </c>
      <c r="K25" s="1" t="s">
        <v>4518</v>
      </c>
      <c r="L25" s="1" t="s">
        <v>4518</v>
      </c>
      <c r="M25" s="1" t="s">
        <v>4518</v>
      </c>
      <c r="N25" s="1" t="s">
        <v>5568</v>
      </c>
      <c r="O25" s="1" t="s">
        <v>4518</v>
      </c>
      <c r="P25" s="1" t="s">
        <v>4518</v>
      </c>
      <c r="Q25" s="1" t="s">
        <v>4518</v>
      </c>
    </row>
    <row r="26" spans="1:17" x14ac:dyDescent="0.2">
      <c r="A26" s="1" t="s">
        <v>5596</v>
      </c>
      <c r="B26" s="1" t="s">
        <v>221</v>
      </c>
      <c r="C26" s="1" t="s">
        <v>5578</v>
      </c>
      <c r="D26" s="1" t="s">
        <v>5597</v>
      </c>
      <c r="E26" s="1" t="s">
        <v>5586</v>
      </c>
      <c r="F26" s="1" t="s">
        <v>5568</v>
      </c>
      <c r="G26" s="1" t="s">
        <v>4518</v>
      </c>
      <c r="H26" s="1" t="s">
        <v>4518</v>
      </c>
      <c r="I26" s="1" t="s">
        <v>4518</v>
      </c>
      <c r="J26" s="1" t="s">
        <v>5568</v>
      </c>
      <c r="K26" s="1" t="s">
        <v>4518</v>
      </c>
      <c r="L26" s="1" t="s">
        <v>4518</v>
      </c>
      <c r="M26" s="1" t="s">
        <v>4518</v>
      </c>
      <c r="N26" s="1" t="s">
        <v>5568</v>
      </c>
      <c r="O26" s="1" t="s">
        <v>4518</v>
      </c>
      <c r="P26" s="1" t="s">
        <v>4518</v>
      </c>
      <c r="Q26" s="1" t="s">
        <v>4518</v>
      </c>
    </row>
    <row r="27" spans="1:17" x14ac:dyDescent="0.2">
      <c r="A27" s="1" t="s">
        <v>5598</v>
      </c>
      <c r="B27" s="1" t="s">
        <v>222</v>
      </c>
      <c r="C27" s="1" t="s">
        <v>5578</v>
      </c>
      <c r="D27" s="1" t="s">
        <v>5599</v>
      </c>
      <c r="E27" s="1" t="s">
        <v>5586</v>
      </c>
      <c r="F27" s="1" t="s">
        <v>5568</v>
      </c>
      <c r="G27" s="1" t="s">
        <v>4518</v>
      </c>
      <c r="H27" s="1" t="s">
        <v>4518</v>
      </c>
      <c r="I27" s="1" t="s">
        <v>4518</v>
      </c>
      <c r="J27" s="1" t="s">
        <v>5568</v>
      </c>
      <c r="K27" s="1" t="s">
        <v>4518</v>
      </c>
      <c r="L27" s="1" t="s">
        <v>4518</v>
      </c>
      <c r="M27" s="1" t="s">
        <v>4518</v>
      </c>
      <c r="N27" s="1" t="s">
        <v>5568</v>
      </c>
      <c r="O27" s="1" t="s">
        <v>4518</v>
      </c>
      <c r="P27" s="1" t="s">
        <v>4518</v>
      </c>
      <c r="Q27" s="1" t="s">
        <v>4518</v>
      </c>
    </row>
    <row r="28" spans="1:17" x14ac:dyDescent="0.2">
      <c r="A28" s="1" t="s">
        <v>5600</v>
      </c>
      <c r="B28" s="1" t="s">
        <v>223</v>
      </c>
      <c r="C28" s="1" t="s">
        <v>5578</v>
      </c>
      <c r="D28" s="1" t="s">
        <v>5601</v>
      </c>
      <c r="E28" s="1" t="s">
        <v>5586</v>
      </c>
      <c r="F28" s="1" t="s">
        <v>5568</v>
      </c>
      <c r="G28" s="1" t="s">
        <v>4518</v>
      </c>
      <c r="H28" s="1" t="s">
        <v>4518</v>
      </c>
      <c r="I28" s="1" t="s">
        <v>4518</v>
      </c>
      <c r="J28" s="1" t="s">
        <v>5568</v>
      </c>
      <c r="K28" s="1" t="s">
        <v>4518</v>
      </c>
      <c r="L28" s="1" t="s">
        <v>4518</v>
      </c>
      <c r="M28" s="1" t="s">
        <v>4518</v>
      </c>
      <c r="N28" s="1" t="s">
        <v>5568</v>
      </c>
      <c r="O28" s="1" t="s">
        <v>4518</v>
      </c>
      <c r="P28" s="1" t="s">
        <v>4518</v>
      </c>
      <c r="Q28" s="1" t="s">
        <v>4518</v>
      </c>
    </row>
    <row r="29" spans="1:17" x14ac:dyDescent="0.2">
      <c r="A29" s="1" t="s">
        <v>5602</v>
      </c>
      <c r="B29" s="1" t="s">
        <v>1192</v>
      </c>
      <c r="C29" s="1" t="s">
        <v>5578</v>
      </c>
      <c r="D29" s="1" t="s">
        <v>5603</v>
      </c>
      <c r="E29" s="1" t="s">
        <v>52</v>
      </c>
      <c r="F29" s="1" t="s">
        <v>4518</v>
      </c>
      <c r="G29" s="1" t="s">
        <v>4518</v>
      </c>
      <c r="H29" s="1" t="s">
        <v>4518</v>
      </c>
      <c r="I29" s="1" t="s">
        <v>4518</v>
      </c>
      <c r="J29" s="1" t="s">
        <v>4518</v>
      </c>
      <c r="K29" s="1" t="s">
        <v>4518</v>
      </c>
      <c r="L29" s="1" t="s">
        <v>4518</v>
      </c>
      <c r="M29" s="1" t="s">
        <v>4518</v>
      </c>
      <c r="N29" s="1" t="s">
        <v>5568</v>
      </c>
      <c r="O29" s="1" t="s">
        <v>4518</v>
      </c>
      <c r="P29" s="1" t="s">
        <v>4518</v>
      </c>
      <c r="Q29" s="1" t="s">
        <v>4518</v>
      </c>
    </row>
    <row r="30" spans="1:17" x14ac:dyDescent="0.2">
      <c r="A30" s="1" t="s">
        <v>5604</v>
      </c>
      <c r="B30" s="1" t="s">
        <v>1193</v>
      </c>
      <c r="C30" s="1" t="s">
        <v>5578</v>
      </c>
      <c r="D30" s="1" t="s">
        <v>5605</v>
      </c>
      <c r="E30" s="1" t="s">
        <v>52</v>
      </c>
      <c r="F30" s="1" t="s">
        <v>4518</v>
      </c>
      <c r="G30" s="1" t="s">
        <v>4518</v>
      </c>
      <c r="H30" s="1" t="s">
        <v>4518</v>
      </c>
      <c r="I30" s="1" t="s">
        <v>4518</v>
      </c>
      <c r="J30" s="1" t="s">
        <v>4518</v>
      </c>
      <c r="K30" s="1" t="s">
        <v>4518</v>
      </c>
      <c r="L30" s="1" t="s">
        <v>4518</v>
      </c>
      <c r="M30" s="1" t="s">
        <v>4518</v>
      </c>
      <c r="N30" s="1" t="s">
        <v>5568</v>
      </c>
      <c r="O30" s="1" t="s">
        <v>4518</v>
      </c>
      <c r="P30" s="1" t="s">
        <v>4518</v>
      </c>
      <c r="Q30" s="1" t="s">
        <v>4518</v>
      </c>
    </row>
    <row r="31" spans="1:17" x14ac:dyDescent="0.2">
      <c r="A31" s="1" t="s">
        <v>5606</v>
      </c>
      <c r="B31" s="1" t="s">
        <v>224</v>
      </c>
      <c r="C31" s="1" t="s">
        <v>5578</v>
      </c>
      <c r="D31" s="1" t="s">
        <v>5607</v>
      </c>
      <c r="E31" s="1" t="s">
        <v>5586</v>
      </c>
      <c r="F31" s="1" t="s">
        <v>5568</v>
      </c>
      <c r="G31" s="1" t="s">
        <v>4518</v>
      </c>
      <c r="H31" s="1" t="s">
        <v>4518</v>
      </c>
      <c r="I31" s="1" t="s">
        <v>4518</v>
      </c>
      <c r="J31" s="1" t="s">
        <v>5568</v>
      </c>
      <c r="K31" s="1" t="s">
        <v>4518</v>
      </c>
      <c r="L31" s="1" t="s">
        <v>4518</v>
      </c>
      <c r="M31" s="1" t="s">
        <v>4518</v>
      </c>
      <c r="N31" s="1" t="s">
        <v>5568</v>
      </c>
      <c r="O31" s="1" t="s">
        <v>4518</v>
      </c>
      <c r="P31" s="1" t="s">
        <v>4518</v>
      </c>
      <c r="Q31" s="1" t="s">
        <v>4518</v>
      </c>
    </row>
    <row r="32" spans="1:17" x14ac:dyDescent="0.2">
      <c r="A32" s="1" t="s">
        <v>5608</v>
      </c>
      <c r="B32" s="1" t="s">
        <v>225</v>
      </c>
      <c r="C32" s="1" t="s">
        <v>5578</v>
      </c>
      <c r="D32" s="1" t="s">
        <v>5609</v>
      </c>
      <c r="E32" s="1" t="s">
        <v>5586</v>
      </c>
      <c r="F32" s="1" t="s">
        <v>5568</v>
      </c>
      <c r="G32" s="1" t="s">
        <v>4518</v>
      </c>
      <c r="H32" s="1" t="s">
        <v>4518</v>
      </c>
      <c r="I32" s="1" t="s">
        <v>4518</v>
      </c>
      <c r="J32" s="1" t="s">
        <v>5568</v>
      </c>
      <c r="K32" s="1" t="s">
        <v>4518</v>
      </c>
      <c r="L32" s="1" t="s">
        <v>4518</v>
      </c>
      <c r="M32" s="1" t="s">
        <v>4518</v>
      </c>
      <c r="N32" s="1" t="s">
        <v>5568</v>
      </c>
      <c r="O32" s="1" t="s">
        <v>4518</v>
      </c>
      <c r="P32" s="1" t="s">
        <v>4518</v>
      </c>
      <c r="Q32" s="1" t="s">
        <v>4518</v>
      </c>
    </row>
    <row r="33" spans="1:17" x14ac:dyDescent="0.2">
      <c r="A33" s="1" t="s">
        <v>5610</v>
      </c>
      <c r="B33" s="1" t="s">
        <v>226</v>
      </c>
      <c r="C33" s="1" t="s">
        <v>5578</v>
      </c>
      <c r="D33" s="1" t="s">
        <v>5611</v>
      </c>
      <c r="E33" s="1" t="s">
        <v>5586</v>
      </c>
      <c r="F33" s="1" t="s">
        <v>5568</v>
      </c>
      <c r="G33" s="1" t="s">
        <v>4518</v>
      </c>
      <c r="H33" s="1" t="s">
        <v>4518</v>
      </c>
      <c r="I33" s="1" t="s">
        <v>4518</v>
      </c>
      <c r="J33" s="1" t="s">
        <v>5568</v>
      </c>
      <c r="K33" s="1" t="s">
        <v>4518</v>
      </c>
      <c r="L33" s="1" t="s">
        <v>4518</v>
      </c>
      <c r="M33" s="1" t="s">
        <v>4518</v>
      </c>
      <c r="N33" s="1" t="s">
        <v>5568</v>
      </c>
      <c r="O33" s="1" t="s">
        <v>4518</v>
      </c>
      <c r="P33" s="1" t="s">
        <v>4518</v>
      </c>
      <c r="Q33" s="1" t="s">
        <v>4518</v>
      </c>
    </row>
    <row r="34" spans="1:17" x14ac:dyDescent="0.2">
      <c r="A34" s="1" t="s">
        <v>5612</v>
      </c>
      <c r="B34" s="1" t="s">
        <v>227</v>
      </c>
      <c r="C34" s="1" t="s">
        <v>5578</v>
      </c>
      <c r="D34" s="1" t="s">
        <v>5613</v>
      </c>
      <c r="E34" s="1" t="s">
        <v>5586</v>
      </c>
      <c r="F34" s="1" t="s">
        <v>5568</v>
      </c>
      <c r="G34" s="1" t="s">
        <v>4518</v>
      </c>
      <c r="H34" s="1" t="s">
        <v>4518</v>
      </c>
      <c r="I34" s="1" t="s">
        <v>4518</v>
      </c>
      <c r="J34" s="1" t="s">
        <v>5568</v>
      </c>
      <c r="K34" s="1" t="s">
        <v>4518</v>
      </c>
      <c r="L34" s="1" t="s">
        <v>4518</v>
      </c>
      <c r="M34" s="1" t="s">
        <v>4518</v>
      </c>
      <c r="N34" s="1" t="s">
        <v>5568</v>
      </c>
      <c r="O34" s="1" t="s">
        <v>4518</v>
      </c>
      <c r="P34" s="1" t="s">
        <v>4518</v>
      </c>
      <c r="Q34" s="1" t="s">
        <v>4518</v>
      </c>
    </row>
    <row r="35" spans="1:17" x14ac:dyDescent="0.2">
      <c r="A35" s="1" t="s">
        <v>5614</v>
      </c>
      <c r="B35" s="1" t="s">
        <v>228</v>
      </c>
      <c r="C35" s="1" t="s">
        <v>5578</v>
      </c>
      <c r="D35" s="1" t="s">
        <v>5615</v>
      </c>
      <c r="E35" s="1" t="s">
        <v>5586</v>
      </c>
      <c r="F35" s="1" t="s">
        <v>5568</v>
      </c>
      <c r="G35" s="1" t="s">
        <v>4518</v>
      </c>
      <c r="H35" s="1" t="s">
        <v>4518</v>
      </c>
      <c r="I35" s="1" t="s">
        <v>4518</v>
      </c>
      <c r="J35" s="1" t="s">
        <v>5568</v>
      </c>
      <c r="K35" s="1" t="s">
        <v>4518</v>
      </c>
      <c r="L35" s="1" t="s">
        <v>4518</v>
      </c>
      <c r="M35" s="1" t="s">
        <v>4518</v>
      </c>
      <c r="N35" s="1" t="s">
        <v>5568</v>
      </c>
      <c r="O35" s="1" t="s">
        <v>4518</v>
      </c>
      <c r="P35" s="1" t="s">
        <v>4518</v>
      </c>
      <c r="Q35" s="1" t="s">
        <v>4518</v>
      </c>
    </row>
    <row r="36" spans="1:17" x14ac:dyDescent="0.2">
      <c r="A36" s="1" t="s">
        <v>5616</v>
      </c>
      <c r="B36" s="1" t="s">
        <v>229</v>
      </c>
      <c r="C36" s="1" t="s">
        <v>5578</v>
      </c>
      <c r="D36" s="1" t="s">
        <v>5617</v>
      </c>
      <c r="E36" s="1" t="s">
        <v>5586</v>
      </c>
      <c r="F36" s="1" t="s">
        <v>5568</v>
      </c>
      <c r="G36" s="1" t="s">
        <v>4518</v>
      </c>
      <c r="H36" s="1" t="s">
        <v>4518</v>
      </c>
      <c r="I36" s="1" t="s">
        <v>4518</v>
      </c>
      <c r="J36" s="1" t="s">
        <v>5568</v>
      </c>
      <c r="K36" s="1" t="s">
        <v>4518</v>
      </c>
      <c r="L36" s="1" t="s">
        <v>4518</v>
      </c>
      <c r="M36" s="1" t="s">
        <v>4518</v>
      </c>
      <c r="N36" s="1" t="s">
        <v>5568</v>
      </c>
      <c r="O36" s="1" t="s">
        <v>4518</v>
      </c>
      <c r="P36" s="1" t="s">
        <v>4518</v>
      </c>
      <c r="Q36" s="1" t="s">
        <v>4518</v>
      </c>
    </row>
    <row r="37" spans="1:17" x14ac:dyDescent="0.2">
      <c r="A37" s="1" t="s">
        <v>5618</v>
      </c>
      <c r="B37" s="1" t="s">
        <v>230</v>
      </c>
      <c r="C37" s="1" t="s">
        <v>5578</v>
      </c>
      <c r="D37" s="1" t="s">
        <v>5619</v>
      </c>
      <c r="E37" s="1" t="s">
        <v>5586</v>
      </c>
      <c r="F37" s="1" t="s">
        <v>5568</v>
      </c>
      <c r="G37" s="1" t="s">
        <v>4518</v>
      </c>
      <c r="H37" s="1" t="s">
        <v>4518</v>
      </c>
      <c r="I37" s="1" t="s">
        <v>4518</v>
      </c>
      <c r="J37" s="1" t="s">
        <v>5568</v>
      </c>
      <c r="K37" s="1" t="s">
        <v>4518</v>
      </c>
      <c r="L37" s="1" t="s">
        <v>4518</v>
      </c>
      <c r="M37" s="1" t="s">
        <v>4518</v>
      </c>
      <c r="N37" s="1" t="s">
        <v>5568</v>
      </c>
      <c r="O37" s="1" t="s">
        <v>4518</v>
      </c>
      <c r="P37" s="1" t="s">
        <v>4518</v>
      </c>
      <c r="Q37" s="1" t="s">
        <v>4518</v>
      </c>
    </row>
    <row r="38" spans="1:17" x14ac:dyDescent="0.2">
      <c r="A38" s="1" t="s">
        <v>5620</v>
      </c>
      <c r="B38" s="1" t="s">
        <v>1194</v>
      </c>
      <c r="C38" s="1" t="s">
        <v>5578</v>
      </c>
      <c r="D38" s="1" t="s">
        <v>5621</v>
      </c>
      <c r="E38" s="1" t="s">
        <v>52</v>
      </c>
      <c r="F38" s="1" t="s">
        <v>4518</v>
      </c>
      <c r="G38" s="1" t="s">
        <v>4518</v>
      </c>
      <c r="H38" s="1" t="s">
        <v>4518</v>
      </c>
      <c r="I38" s="1" t="s">
        <v>4518</v>
      </c>
      <c r="J38" s="1" t="s">
        <v>4518</v>
      </c>
      <c r="K38" s="1" t="s">
        <v>4518</v>
      </c>
      <c r="L38" s="1" t="s">
        <v>4518</v>
      </c>
      <c r="M38" s="1" t="s">
        <v>4518</v>
      </c>
      <c r="N38" s="1" t="s">
        <v>5568</v>
      </c>
      <c r="O38" s="1" t="s">
        <v>4518</v>
      </c>
      <c r="P38" s="1" t="s">
        <v>4518</v>
      </c>
      <c r="Q38" s="1" t="s">
        <v>4518</v>
      </c>
    </row>
    <row r="39" spans="1:17" x14ac:dyDescent="0.2">
      <c r="A39" s="1" t="s">
        <v>5622</v>
      </c>
      <c r="B39" s="1" t="s">
        <v>231</v>
      </c>
      <c r="C39" s="1" t="s">
        <v>5578</v>
      </c>
      <c r="D39" s="1" t="s">
        <v>5623</v>
      </c>
      <c r="E39" s="1" t="s">
        <v>5586</v>
      </c>
      <c r="F39" s="1" t="s">
        <v>5568</v>
      </c>
      <c r="G39" s="1" t="s">
        <v>4518</v>
      </c>
      <c r="H39" s="1" t="s">
        <v>4518</v>
      </c>
      <c r="I39" s="1" t="s">
        <v>4518</v>
      </c>
      <c r="J39" s="1" t="s">
        <v>5568</v>
      </c>
      <c r="K39" s="1" t="s">
        <v>4518</v>
      </c>
      <c r="L39" s="1" t="s">
        <v>4518</v>
      </c>
      <c r="M39" s="1" t="s">
        <v>4518</v>
      </c>
      <c r="N39" s="1" t="s">
        <v>5568</v>
      </c>
      <c r="O39" s="1" t="s">
        <v>4518</v>
      </c>
      <c r="P39" s="1" t="s">
        <v>4518</v>
      </c>
      <c r="Q39" s="1" t="s">
        <v>4518</v>
      </c>
    </row>
    <row r="40" spans="1:17" x14ac:dyDescent="0.2">
      <c r="A40" s="1" t="s">
        <v>5624</v>
      </c>
      <c r="B40" s="1" t="s">
        <v>232</v>
      </c>
      <c r="C40" s="1" t="s">
        <v>5578</v>
      </c>
      <c r="D40" s="1" t="s">
        <v>5625</v>
      </c>
      <c r="E40" s="1" t="s">
        <v>5573</v>
      </c>
      <c r="F40" s="1" t="s">
        <v>4518</v>
      </c>
      <c r="G40" s="1" t="s">
        <v>4518</v>
      </c>
      <c r="H40" s="1" t="s">
        <v>4518</v>
      </c>
      <c r="I40" s="1" t="s">
        <v>4518</v>
      </c>
      <c r="J40" s="1" t="s">
        <v>5568</v>
      </c>
      <c r="K40" s="1" t="s">
        <v>4518</v>
      </c>
      <c r="L40" s="1" t="s">
        <v>4518</v>
      </c>
      <c r="M40" s="1" t="s">
        <v>4518</v>
      </c>
      <c r="N40" s="1" t="s">
        <v>5568</v>
      </c>
      <c r="O40" s="1" t="s">
        <v>4518</v>
      </c>
      <c r="P40" s="1" t="s">
        <v>4518</v>
      </c>
      <c r="Q40" s="1" t="s">
        <v>4518</v>
      </c>
    </row>
    <row r="41" spans="1:17" x14ac:dyDescent="0.2">
      <c r="A41" s="1" t="s">
        <v>5626</v>
      </c>
      <c r="B41" s="1" t="s">
        <v>233</v>
      </c>
      <c r="C41" s="1" t="s">
        <v>5578</v>
      </c>
      <c r="D41" s="1" t="s">
        <v>5627</v>
      </c>
      <c r="E41" s="1" t="s">
        <v>5586</v>
      </c>
      <c r="F41" s="1" t="s">
        <v>5568</v>
      </c>
      <c r="G41" s="1" t="s">
        <v>4518</v>
      </c>
      <c r="H41" s="1" t="s">
        <v>4518</v>
      </c>
      <c r="I41" s="1" t="s">
        <v>4518</v>
      </c>
      <c r="J41" s="1" t="s">
        <v>5568</v>
      </c>
      <c r="K41" s="1" t="s">
        <v>4518</v>
      </c>
      <c r="L41" s="1" t="s">
        <v>4518</v>
      </c>
      <c r="M41" s="1" t="s">
        <v>4518</v>
      </c>
      <c r="N41" s="1" t="s">
        <v>5568</v>
      </c>
      <c r="O41" s="1" t="s">
        <v>4518</v>
      </c>
      <c r="P41" s="1" t="s">
        <v>4518</v>
      </c>
      <c r="Q41" s="1" t="s">
        <v>4518</v>
      </c>
    </row>
    <row r="42" spans="1:17" x14ac:dyDescent="0.2">
      <c r="A42" s="1" t="s">
        <v>5628</v>
      </c>
      <c r="B42" s="1" t="s">
        <v>234</v>
      </c>
      <c r="C42" s="1" t="s">
        <v>5578</v>
      </c>
      <c r="D42" s="1" t="s">
        <v>5629</v>
      </c>
      <c r="E42" s="1" t="s">
        <v>5586</v>
      </c>
      <c r="F42" s="1" t="s">
        <v>5568</v>
      </c>
      <c r="G42" s="1" t="s">
        <v>4518</v>
      </c>
      <c r="H42" s="1" t="s">
        <v>4518</v>
      </c>
      <c r="I42" s="1" t="s">
        <v>4518</v>
      </c>
      <c r="J42" s="1" t="s">
        <v>5568</v>
      </c>
      <c r="K42" s="1" t="s">
        <v>4518</v>
      </c>
      <c r="L42" s="1" t="s">
        <v>4518</v>
      </c>
      <c r="M42" s="1" t="s">
        <v>4518</v>
      </c>
      <c r="N42" s="1" t="s">
        <v>5568</v>
      </c>
      <c r="O42" s="1" t="s">
        <v>4518</v>
      </c>
      <c r="P42" s="1" t="s">
        <v>4518</v>
      </c>
      <c r="Q42" s="1" t="s">
        <v>4518</v>
      </c>
    </row>
    <row r="43" spans="1:17" x14ac:dyDescent="0.2">
      <c r="A43" s="1" t="s">
        <v>4772</v>
      </c>
      <c r="B43" s="1" t="s">
        <v>1197</v>
      </c>
      <c r="C43" s="1" t="s">
        <v>5578</v>
      </c>
      <c r="D43" s="1" t="s">
        <v>5630</v>
      </c>
      <c r="E43" s="1" t="s">
        <v>52</v>
      </c>
      <c r="F43" s="1" t="s">
        <v>4518</v>
      </c>
      <c r="G43" s="1" t="s">
        <v>4518</v>
      </c>
      <c r="H43" s="1" t="s">
        <v>4518</v>
      </c>
      <c r="I43" s="1" t="s">
        <v>4518</v>
      </c>
      <c r="J43" s="1" t="s">
        <v>4518</v>
      </c>
      <c r="K43" s="1" t="s">
        <v>4518</v>
      </c>
      <c r="L43" s="1" t="s">
        <v>4518</v>
      </c>
      <c r="M43" s="1" t="s">
        <v>4518</v>
      </c>
      <c r="N43" s="1" t="s">
        <v>5568</v>
      </c>
      <c r="O43" s="1" t="s">
        <v>4518</v>
      </c>
      <c r="P43" s="1" t="s">
        <v>4518</v>
      </c>
      <c r="Q43" s="1" t="s">
        <v>4518</v>
      </c>
    </row>
    <row r="44" spans="1:17" x14ac:dyDescent="0.2">
      <c r="A44" s="1" t="s">
        <v>5631</v>
      </c>
      <c r="B44" s="1" t="s">
        <v>1195</v>
      </c>
      <c r="C44" s="1" t="s">
        <v>5578</v>
      </c>
      <c r="E44" s="1" t="s">
        <v>52</v>
      </c>
      <c r="F44" s="1" t="s">
        <v>4518</v>
      </c>
      <c r="G44" s="1" t="s">
        <v>4518</v>
      </c>
      <c r="H44" s="1" t="s">
        <v>4518</v>
      </c>
      <c r="I44" s="1" t="s">
        <v>4518</v>
      </c>
      <c r="J44" s="1" t="s">
        <v>4518</v>
      </c>
      <c r="K44" s="1" t="s">
        <v>4518</v>
      </c>
      <c r="L44" s="1" t="s">
        <v>4518</v>
      </c>
      <c r="M44" s="1" t="s">
        <v>4518</v>
      </c>
      <c r="N44" s="1" t="s">
        <v>5568</v>
      </c>
      <c r="O44" s="1" t="s">
        <v>4518</v>
      </c>
      <c r="P44" s="1" t="s">
        <v>4518</v>
      </c>
      <c r="Q44" s="1" t="s">
        <v>4518</v>
      </c>
    </row>
    <row r="45" spans="1:17" x14ac:dyDescent="0.2">
      <c r="A45" s="1" t="s">
        <v>5632</v>
      </c>
      <c r="B45" s="1" t="s">
        <v>5633</v>
      </c>
      <c r="C45" s="1" t="s">
        <v>5578</v>
      </c>
      <c r="E45" s="1" t="s">
        <v>52</v>
      </c>
      <c r="F45" s="1" t="s">
        <v>4518</v>
      </c>
      <c r="G45" s="1" t="s">
        <v>4518</v>
      </c>
      <c r="H45" s="1" t="s">
        <v>4518</v>
      </c>
      <c r="I45" s="1" t="s">
        <v>4518</v>
      </c>
      <c r="J45" s="1" t="s">
        <v>4518</v>
      </c>
      <c r="K45" s="1" t="s">
        <v>4518</v>
      </c>
      <c r="L45" s="1" t="s">
        <v>4518</v>
      </c>
      <c r="M45" s="1" t="s">
        <v>4518</v>
      </c>
      <c r="N45" s="1" t="s">
        <v>5568</v>
      </c>
      <c r="O45" s="1" t="s">
        <v>4518</v>
      </c>
      <c r="P45" s="1" t="s">
        <v>4518</v>
      </c>
      <c r="Q45" s="1" t="s">
        <v>4518</v>
      </c>
    </row>
    <row r="46" spans="1:17" x14ac:dyDescent="0.2">
      <c r="C46" s="7" t="s">
        <v>5634</v>
      </c>
      <c r="F46" s="1" t="s">
        <v>4518</v>
      </c>
      <c r="G46" s="1" t="s">
        <v>4518</v>
      </c>
      <c r="H46" s="1" t="s">
        <v>4518</v>
      </c>
      <c r="I46" s="1" t="s">
        <v>4518</v>
      </c>
      <c r="J46" s="1" t="s">
        <v>4518</v>
      </c>
      <c r="K46" s="1" t="s">
        <v>4518</v>
      </c>
      <c r="L46" s="1" t="s">
        <v>4518</v>
      </c>
      <c r="M46" s="1" t="s">
        <v>4518</v>
      </c>
      <c r="N46" s="1" t="s">
        <v>4518</v>
      </c>
      <c r="O46" s="1" t="s">
        <v>4518</v>
      </c>
      <c r="P46" s="1" t="s">
        <v>4518</v>
      </c>
      <c r="Q46" s="1" t="s">
        <v>4518</v>
      </c>
    </row>
    <row r="47" spans="1:17" x14ac:dyDescent="0.2">
      <c r="A47" s="1" t="s">
        <v>5635</v>
      </c>
      <c r="B47" s="1" t="s">
        <v>1141</v>
      </c>
      <c r="C47" s="1" t="s">
        <v>5578</v>
      </c>
      <c r="E47" s="1" t="s">
        <v>5589</v>
      </c>
      <c r="F47" s="1" t="s">
        <v>5568</v>
      </c>
      <c r="G47" s="1" t="s">
        <v>4518</v>
      </c>
      <c r="H47" s="1" t="s">
        <v>4518</v>
      </c>
      <c r="I47" s="1" t="s">
        <v>4518</v>
      </c>
      <c r="J47" s="1" t="s">
        <v>4518</v>
      </c>
      <c r="K47" s="1" t="s">
        <v>4518</v>
      </c>
      <c r="L47" s="1" t="s">
        <v>4518</v>
      </c>
      <c r="M47" s="1" t="s">
        <v>4518</v>
      </c>
      <c r="N47" s="1" t="s">
        <v>5568</v>
      </c>
      <c r="O47" s="1" t="s">
        <v>4518</v>
      </c>
      <c r="P47" s="1" t="s">
        <v>4518</v>
      </c>
      <c r="Q47" s="1" t="s">
        <v>4518</v>
      </c>
    </row>
    <row r="48" spans="1:17" x14ac:dyDescent="0.2">
      <c r="A48" s="1" t="s">
        <v>5636</v>
      </c>
      <c r="B48" s="1" t="s">
        <v>1139</v>
      </c>
      <c r="C48" s="1" t="s">
        <v>5637</v>
      </c>
      <c r="D48" s="1" t="s">
        <v>5638</v>
      </c>
      <c r="E48" s="1" t="s">
        <v>7447</v>
      </c>
      <c r="F48" s="1" t="s">
        <v>5568</v>
      </c>
      <c r="G48" s="1" t="s">
        <v>5568</v>
      </c>
      <c r="H48" s="1" t="s">
        <v>4518</v>
      </c>
      <c r="I48" s="1" t="s">
        <v>4518</v>
      </c>
      <c r="J48" s="1" t="s">
        <v>4518</v>
      </c>
      <c r="K48" s="1" t="s">
        <v>4518</v>
      </c>
      <c r="L48" s="1" t="s">
        <v>4518</v>
      </c>
      <c r="M48" s="1" t="s">
        <v>4518</v>
      </c>
      <c r="N48" s="1" t="s">
        <v>5568</v>
      </c>
      <c r="O48" s="1" t="s">
        <v>4518</v>
      </c>
      <c r="P48" s="1" t="s">
        <v>4518</v>
      </c>
      <c r="Q48" s="1" t="s">
        <v>4518</v>
      </c>
    </row>
    <row r="49" spans="1:17" x14ac:dyDescent="0.2">
      <c r="A49" s="1" t="s">
        <v>7610</v>
      </c>
      <c r="B49" s="1" t="s">
        <v>158</v>
      </c>
      <c r="C49" s="1" t="s">
        <v>5637</v>
      </c>
      <c r="E49" s="1" t="s">
        <v>7443</v>
      </c>
      <c r="F49" s="1" t="s">
        <v>5568</v>
      </c>
      <c r="G49" s="1" t="s">
        <v>5568</v>
      </c>
      <c r="H49" s="1" t="s">
        <v>4518</v>
      </c>
      <c r="I49" s="1" t="s">
        <v>4518</v>
      </c>
      <c r="J49" s="1" t="s">
        <v>5568</v>
      </c>
      <c r="K49" s="1" t="s">
        <v>4518</v>
      </c>
      <c r="L49" s="1" t="s">
        <v>4518</v>
      </c>
      <c r="M49" s="1" t="s">
        <v>4518</v>
      </c>
      <c r="N49" s="1" t="s">
        <v>5568</v>
      </c>
      <c r="O49" s="1" t="s">
        <v>4518</v>
      </c>
      <c r="P49" s="1" t="s">
        <v>4518</v>
      </c>
      <c r="Q49" s="1" t="s">
        <v>4518</v>
      </c>
    </row>
    <row r="50" spans="1:17" x14ac:dyDescent="0.2">
      <c r="A50" s="1" t="s">
        <v>7611</v>
      </c>
      <c r="B50" s="1" t="s">
        <v>1140</v>
      </c>
      <c r="C50" s="1" t="s">
        <v>5637</v>
      </c>
      <c r="D50" s="1" t="s">
        <v>5639</v>
      </c>
      <c r="E50" s="1" t="s">
        <v>5589</v>
      </c>
      <c r="F50" s="1" t="s">
        <v>5568</v>
      </c>
      <c r="G50" s="1" t="s">
        <v>4518</v>
      </c>
      <c r="H50" s="1" t="s">
        <v>4518</v>
      </c>
      <c r="I50" s="1" t="s">
        <v>4518</v>
      </c>
      <c r="J50" s="1" t="s">
        <v>4518</v>
      </c>
      <c r="K50" s="1" t="s">
        <v>4518</v>
      </c>
      <c r="L50" s="1" t="s">
        <v>4518</v>
      </c>
      <c r="M50" s="1" t="s">
        <v>4518</v>
      </c>
      <c r="N50" s="1" t="s">
        <v>5568</v>
      </c>
      <c r="O50" s="1" t="s">
        <v>4518</v>
      </c>
      <c r="P50" s="1" t="s">
        <v>4518</v>
      </c>
      <c r="Q50" s="1" t="s">
        <v>4518</v>
      </c>
    </row>
    <row r="51" spans="1:17" x14ac:dyDescent="0.2">
      <c r="A51" s="1" t="s">
        <v>75</v>
      </c>
      <c r="B51" s="1" t="s">
        <v>159</v>
      </c>
      <c r="C51" s="1" t="s">
        <v>5637</v>
      </c>
      <c r="E51" s="1" t="s">
        <v>7445</v>
      </c>
      <c r="F51" s="1" t="s">
        <v>4518</v>
      </c>
      <c r="G51" s="1" t="s">
        <v>5568</v>
      </c>
      <c r="H51" s="1" t="s">
        <v>4518</v>
      </c>
      <c r="I51" s="1" t="s">
        <v>4518</v>
      </c>
      <c r="J51" s="1" t="s">
        <v>5568</v>
      </c>
      <c r="K51" s="1" t="s">
        <v>4518</v>
      </c>
      <c r="L51" s="1" t="s">
        <v>4518</v>
      </c>
      <c r="M51" s="1" t="s">
        <v>4518</v>
      </c>
      <c r="N51" s="1" t="s">
        <v>5568</v>
      </c>
      <c r="O51" s="1" t="s">
        <v>4518</v>
      </c>
      <c r="P51" s="1" t="s">
        <v>4518</v>
      </c>
      <c r="Q51" s="1" t="s">
        <v>4518</v>
      </c>
    </row>
    <row r="52" spans="1:17" x14ac:dyDescent="0.2">
      <c r="A52" s="1" t="s">
        <v>74</v>
      </c>
      <c r="B52" s="1" t="s">
        <v>157</v>
      </c>
      <c r="D52" s="1" t="s">
        <v>5640</v>
      </c>
      <c r="E52" s="1" t="s">
        <v>7443</v>
      </c>
      <c r="F52" s="1" t="s">
        <v>5568</v>
      </c>
      <c r="G52" s="1" t="s">
        <v>5568</v>
      </c>
      <c r="H52" s="1" t="s">
        <v>4518</v>
      </c>
      <c r="I52" s="1" t="s">
        <v>4518</v>
      </c>
      <c r="J52" s="1" t="s">
        <v>5568</v>
      </c>
      <c r="K52" s="1" t="s">
        <v>4518</v>
      </c>
      <c r="L52" s="1" t="s">
        <v>4518</v>
      </c>
      <c r="M52" s="1" t="s">
        <v>4518</v>
      </c>
      <c r="N52" s="1" t="s">
        <v>5568</v>
      </c>
      <c r="O52" s="1" t="s">
        <v>4518</v>
      </c>
      <c r="P52" s="1" t="s">
        <v>4518</v>
      </c>
      <c r="Q52" s="1" t="s">
        <v>4518</v>
      </c>
    </row>
    <row r="53" spans="1:17" x14ac:dyDescent="0.2">
      <c r="C53" s="7" t="s">
        <v>7648</v>
      </c>
      <c r="F53" s="1" t="s">
        <v>4518</v>
      </c>
      <c r="G53" s="1" t="s">
        <v>4518</v>
      </c>
      <c r="H53" s="1" t="s">
        <v>4518</v>
      </c>
      <c r="I53" s="1" t="s">
        <v>4518</v>
      </c>
      <c r="J53" s="1" t="s">
        <v>4518</v>
      </c>
      <c r="K53" s="1" t="s">
        <v>4518</v>
      </c>
      <c r="L53" s="1" t="s">
        <v>4518</v>
      </c>
      <c r="M53" s="1" t="s">
        <v>4518</v>
      </c>
      <c r="N53" s="1" t="s">
        <v>4518</v>
      </c>
      <c r="O53" s="1" t="s">
        <v>4518</v>
      </c>
      <c r="P53" s="1" t="s">
        <v>4518</v>
      </c>
      <c r="Q53" s="1" t="s">
        <v>4518</v>
      </c>
    </row>
    <row r="54" spans="1:17" x14ac:dyDescent="0.2">
      <c r="A54" s="1" t="s">
        <v>7649</v>
      </c>
      <c r="B54" s="1" t="s">
        <v>7054</v>
      </c>
      <c r="C54" s="1" t="s">
        <v>5919</v>
      </c>
      <c r="E54" s="1" t="s">
        <v>7448</v>
      </c>
      <c r="F54" s="1" t="s">
        <v>5568</v>
      </c>
      <c r="G54" s="1" t="s">
        <v>5568</v>
      </c>
      <c r="H54" s="1" t="s">
        <v>4518</v>
      </c>
      <c r="I54" s="1" t="s">
        <v>4518</v>
      </c>
      <c r="J54" s="1" t="s">
        <v>4518</v>
      </c>
      <c r="K54" s="1" t="s">
        <v>4518</v>
      </c>
      <c r="L54" s="1" t="s">
        <v>4518</v>
      </c>
      <c r="M54" s="1" t="s">
        <v>4518</v>
      </c>
      <c r="N54" s="1" t="s">
        <v>4518</v>
      </c>
      <c r="O54" s="1" t="s">
        <v>4518</v>
      </c>
      <c r="P54" s="1" t="s">
        <v>4518</v>
      </c>
      <c r="Q54" s="1" t="s">
        <v>4518</v>
      </c>
    </row>
    <row r="55" spans="1:17" x14ac:dyDescent="0.2">
      <c r="B55" s="7" t="s">
        <v>5641</v>
      </c>
      <c r="F55" s="1" t="s">
        <v>4518</v>
      </c>
      <c r="G55" s="1" t="s">
        <v>4518</v>
      </c>
      <c r="H55" s="1" t="s">
        <v>4518</v>
      </c>
      <c r="I55" s="1" t="s">
        <v>4518</v>
      </c>
      <c r="J55" s="1" t="s">
        <v>4518</v>
      </c>
      <c r="K55" s="1" t="s">
        <v>4518</v>
      </c>
      <c r="L55" s="1" t="s">
        <v>4518</v>
      </c>
      <c r="M55" s="1" t="s">
        <v>4518</v>
      </c>
      <c r="N55" s="1" t="s">
        <v>4518</v>
      </c>
      <c r="O55" s="1" t="s">
        <v>4518</v>
      </c>
      <c r="P55" s="1" t="s">
        <v>4518</v>
      </c>
      <c r="Q55" s="1" t="s">
        <v>4518</v>
      </c>
    </row>
    <row r="56" spans="1:17" x14ac:dyDescent="0.2">
      <c r="A56" s="1" t="s">
        <v>5642</v>
      </c>
      <c r="B56" s="1" t="s">
        <v>1142</v>
      </c>
      <c r="C56" s="1" t="s">
        <v>5637</v>
      </c>
      <c r="D56" s="1" t="s">
        <v>5643</v>
      </c>
      <c r="E56" s="1" t="s">
        <v>5589</v>
      </c>
      <c r="F56" s="1" t="s">
        <v>5568</v>
      </c>
      <c r="G56" s="1" t="s">
        <v>4518</v>
      </c>
      <c r="H56" s="1" t="s">
        <v>4518</v>
      </c>
      <c r="I56" s="1" t="s">
        <v>4518</v>
      </c>
      <c r="J56" s="1" t="s">
        <v>4518</v>
      </c>
      <c r="K56" s="1" t="s">
        <v>4518</v>
      </c>
      <c r="L56" s="1" t="s">
        <v>4518</v>
      </c>
      <c r="M56" s="1" t="s">
        <v>4518</v>
      </c>
      <c r="N56" s="1" t="s">
        <v>5568</v>
      </c>
      <c r="O56" s="1" t="s">
        <v>4518</v>
      </c>
      <c r="P56" s="1" t="s">
        <v>4518</v>
      </c>
      <c r="Q56" s="1" t="s">
        <v>4518</v>
      </c>
    </row>
    <row r="57" spans="1:17" x14ac:dyDescent="0.2">
      <c r="A57" s="1" t="s">
        <v>5644</v>
      </c>
      <c r="B57" s="1" t="s">
        <v>160</v>
      </c>
      <c r="C57" s="1" t="s">
        <v>5637</v>
      </c>
      <c r="D57" s="1" t="s">
        <v>5645</v>
      </c>
      <c r="E57" s="1" t="s">
        <v>7443</v>
      </c>
      <c r="F57" s="1" t="s">
        <v>5568</v>
      </c>
      <c r="G57" s="1" t="s">
        <v>5568</v>
      </c>
      <c r="H57" s="1" t="s">
        <v>4518</v>
      </c>
      <c r="I57" s="1" t="s">
        <v>4518</v>
      </c>
      <c r="J57" s="1" t="s">
        <v>5568</v>
      </c>
      <c r="K57" s="1" t="s">
        <v>4518</v>
      </c>
      <c r="L57" s="1" t="s">
        <v>4518</v>
      </c>
      <c r="M57" s="1" t="s">
        <v>4518</v>
      </c>
      <c r="N57" s="1" t="s">
        <v>5568</v>
      </c>
      <c r="O57" s="1" t="s">
        <v>4518</v>
      </c>
      <c r="P57" s="1" t="s">
        <v>4518</v>
      </c>
      <c r="Q57" s="1" t="s">
        <v>4518</v>
      </c>
    </row>
    <row r="58" spans="1:17" x14ac:dyDescent="0.2">
      <c r="A58" s="1" t="s">
        <v>5646</v>
      </c>
      <c r="B58" s="1" t="s">
        <v>161</v>
      </c>
      <c r="C58" s="1" t="s">
        <v>5637</v>
      </c>
      <c r="E58" s="1" t="s">
        <v>7443</v>
      </c>
      <c r="F58" s="1" t="s">
        <v>5568</v>
      </c>
      <c r="G58" s="1" t="s">
        <v>5568</v>
      </c>
      <c r="H58" s="1" t="s">
        <v>4518</v>
      </c>
      <c r="I58" s="1" t="s">
        <v>4518</v>
      </c>
      <c r="J58" s="1" t="s">
        <v>5568</v>
      </c>
      <c r="K58" s="1" t="s">
        <v>4518</v>
      </c>
      <c r="L58" s="1" t="s">
        <v>4518</v>
      </c>
      <c r="M58" s="1" t="s">
        <v>4518</v>
      </c>
      <c r="N58" s="1" t="s">
        <v>5568</v>
      </c>
      <c r="O58" s="1" t="s">
        <v>4518</v>
      </c>
      <c r="P58" s="1" t="s">
        <v>4518</v>
      </c>
      <c r="Q58" s="1" t="s">
        <v>4518</v>
      </c>
    </row>
    <row r="59" spans="1:17" x14ac:dyDescent="0.2">
      <c r="A59" s="1" t="s">
        <v>5647</v>
      </c>
      <c r="B59" s="1" t="s">
        <v>190</v>
      </c>
      <c r="C59" s="1" t="s">
        <v>5637</v>
      </c>
      <c r="E59" s="1" t="s">
        <v>52</v>
      </c>
      <c r="F59" s="1" t="s">
        <v>4518</v>
      </c>
      <c r="G59" s="1" t="s">
        <v>4518</v>
      </c>
      <c r="H59" s="1" t="s">
        <v>4518</v>
      </c>
      <c r="I59" s="1" t="s">
        <v>4518</v>
      </c>
      <c r="J59" s="1" t="s">
        <v>4518</v>
      </c>
      <c r="K59" s="1" t="s">
        <v>4518</v>
      </c>
      <c r="L59" s="1" t="s">
        <v>4518</v>
      </c>
      <c r="M59" s="1" t="s">
        <v>4518</v>
      </c>
      <c r="N59" s="1" t="s">
        <v>5568</v>
      </c>
      <c r="O59" s="1" t="s">
        <v>4518</v>
      </c>
      <c r="P59" s="1" t="s">
        <v>4518</v>
      </c>
      <c r="Q59" s="1" t="s">
        <v>4518</v>
      </c>
    </row>
    <row r="60" spans="1:17" x14ac:dyDescent="0.2">
      <c r="A60" s="1" t="s">
        <v>5155</v>
      </c>
      <c r="B60" s="1" t="s">
        <v>5274</v>
      </c>
      <c r="E60" s="1" t="s">
        <v>52</v>
      </c>
      <c r="F60" s="1" t="s">
        <v>4518</v>
      </c>
      <c r="G60" s="1" t="s">
        <v>4518</v>
      </c>
      <c r="H60" s="1" t="s">
        <v>4518</v>
      </c>
      <c r="I60" s="1" t="s">
        <v>4518</v>
      </c>
      <c r="J60" s="1" t="s">
        <v>4518</v>
      </c>
      <c r="K60" s="1" t="s">
        <v>4518</v>
      </c>
      <c r="L60" s="1" t="s">
        <v>4518</v>
      </c>
      <c r="M60" s="1" t="s">
        <v>4518</v>
      </c>
      <c r="N60" s="1" t="s">
        <v>5568</v>
      </c>
      <c r="O60" s="1" t="s">
        <v>4518</v>
      </c>
      <c r="P60" s="1" t="s">
        <v>4518</v>
      </c>
      <c r="Q60" s="1" t="s">
        <v>4518</v>
      </c>
    </row>
    <row r="61" spans="1:17" x14ac:dyDescent="0.2">
      <c r="C61" s="7" t="s">
        <v>5648</v>
      </c>
      <c r="F61" s="1" t="s">
        <v>4518</v>
      </c>
      <c r="G61" s="1" t="s">
        <v>4518</v>
      </c>
      <c r="H61" s="1" t="s">
        <v>4518</v>
      </c>
      <c r="I61" s="1" t="s">
        <v>4518</v>
      </c>
      <c r="J61" s="1" t="s">
        <v>4518</v>
      </c>
      <c r="K61" s="1" t="s">
        <v>4518</v>
      </c>
      <c r="L61" s="1" t="s">
        <v>4518</v>
      </c>
      <c r="M61" s="1" t="s">
        <v>4518</v>
      </c>
      <c r="N61" s="1" t="s">
        <v>4518</v>
      </c>
      <c r="O61" s="1" t="s">
        <v>4518</v>
      </c>
      <c r="P61" s="1" t="s">
        <v>4518</v>
      </c>
      <c r="Q61" s="1" t="s">
        <v>4518</v>
      </c>
    </row>
    <row r="62" spans="1:17" x14ac:dyDescent="0.2">
      <c r="A62" s="1" t="s">
        <v>5649</v>
      </c>
      <c r="B62" s="1" t="s">
        <v>5281</v>
      </c>
      <c r="C62" s="1" t="s">
        <v>5637</v>
      </c>
      <c r="D62" s="1" t="s">
        <v>5650</v>
      </c>
      <c r="E62" s="1" t="s">
        <v>52</v>
      </c>
      <c r="F62" s="1" t="s">
        <v>4518</v>
      </c>
      <c r="G62" s="1" t="s">
        <v>4518</v>
      </c>
      <c r="H62" s="1" t="s">
        <v>4518</v>
      </c>
      <c r="I62" s="1" t="s">
        <v>4518</v>
      </c>
      <c r="J62" s="1" t="s">
        <v>4518</v>
      </c>
      <c r="K62" s="1" t="s">
        <v>4518</v>
      </c>
      <c r="L62" s="1" t="s">
        <v>4518</v>
      </c>
      <c r="M62" s="1" t="s">
        <v>4518</v>
      </c>
      <c r="N62" s="1" t="s">
        <v>5568</v>
      </c>
      <c r="O62" s="1" t="s">
        <v>4518</v>
      </c>
      <c r="P62" s="1" t="s">
        <v>4518</v>
      </c>
      <c r="Q62" s="1" t="s">
        <v>4518</v>
      </c>
    </row>
    <row r="63" spans="1:17" x14ac:dyDescent="0.2">
      <c r="A63" s="1" t="s">
        <v>5651</v>
      </c>
      <c r="B63" s="1" t="s">
        <v>5282</v>
      </c>
      <c r="C63" s="1" t="s">
        <v>5637</v>
      </c>
      <c r="D63" s="1" t="s">
        <v>5652</v>
      </c>
      <c r="E63" s="1" t="s">
        <v>52</v>
      </c>
      <c r="F63" s="1" t="s">
        <v>4518</v>
      </c>
      <c r="G63" s="1" t="s">
        <v>4518</v>
      </c>
      <c r="H63" s="1" t="s">
        <v>4518</v>
      </c>
      <c r="I63" s="1" t="s">
        <v>4518</v>
      </c>
      <c r="J63" s="1" t="s">
        <v>4518</v>
      </c>
      <c r="K63" s="1" t="s">
        <v>4518</v>
      </c>
      <c r="L63" s="1" t="s">
        <v>4518</v>
      </c>
      <c r="M63" s="1" t="s">
        <v>4518</v>
      </c>
      <c r="N63" s="1" t="s">
        <v>5568</v>
      </c>
      <c r="O63" s="1" t="s">
        <v>4518</v>
      </c>
      <c r="P63" s="1" t="s">
        <v>4518</v>
      </c>
      <c r="Q63" s="1" t="s">
        <v>4518</v>
      </c>
    </row>
    <row r="64" spans="1:17" x14ac:dyDescent="0.2">
      <c r="A64" s="1" t="s">
        <v>5653</v>
      </c>
      <c r="B64" s="1" t="s">
        <v>5283</v>
      </c>
      <c r="C64" s="1" t="s">
        <v>5637</v>
      </c>
      <c r="D64" s="1" t="s">
        <v>5654</v>
      </c>
      <c r="E64" s="1" t="s">
        <v>52</v>
      </c>
      <c r="F64" s="1" t="s">
        <v>4518</v>
      </c>
      <c r="G64" s="1" t="s">
        <v>4518</v>
      </c>
      <c r="H64" s="1" t="s">
        <v>4518</v>
      </c>
      <c r="I64" s="1" t="s">
        <v>4518</v>
      </c>
      <c r="J64" s="1" t="s">
        <v>4518</v>
      </c>
      <c r="K64" s="1" t="s">
        <v>4518</v>
      </c>
      <c r="L64" s="1" t="s">
        <v>4518</v>
      </c>
      <c r="M64" s="1" t="s">
        <v>4518</v>
      </c>
      <c r="N64" s="1" t="s">
        <v>5568</v>
      </c>
      <c r="O64" s="1" t="s">
        <v>4518</v>
      </c>
      <c r="P64" s="1" t="s">
        <v>4518</v>
      </c>
      <c r="Q64" s="1" t="s">
        <v>4518</v>
      </c>
    </row>
    <row r="65" spans="1:17" x14ac:dyDescent="0.2">
      <c r="A65" s="1" t="s">
        <v>5655</v>
      </c>
      <c r="B65" s="1" t="s">
        <v>5284</v>
      </c>
      <c r="C65" s="1" t="s">
        <v>5637</v>
      </c>
      <c r="E65" s="1" t="s">
        <v>52</v>
      </c>
      <c r="F65" s="1" t="s">
        <v>4518</v>
      </c>
      <c r="G65" s="1" t="s">
        <v>4518</v>
      </c>
      <c r="H65" s="1" t="s">
        <v>4518</v>
      </c>
      <c r="I65" s="1" t="s">
        <v>4518</v>
      </c>
      <c r="J65" s="1" t="s">
        <v>4518</v>
      </c>
      <c r="K65" s="1" t="s">
        <v>4518</v>
      </c>
      <c r="L65" s="1" t="s">
        <v>4518</v>
      </c>
      <c r="M65" s="1" t="s">
        <v>4518</v>
      </c>
      <c r="N65" s="1" t="s">
        <v>5568</v>
      </c>
      <c r="O65" s="1" t="s">
        <v>4518</v>
      </c>
      <c r="P65" s="1" t="s">
        <v>4518</v>
      </c>
      <c r="Q65" s="1" t="s">
        <v>4518</v>
      </c>
    </row>
    <row r="66" spans="1:17" x14ac:dyDescent="0.2">
      <c r="A66" s="1" t="s">
        <v>5656</v>
      </c>
      <c r="B66" s="1" t="s">
        <v>5285</v>
      </c>
      <c r="C66" s="1" t="s">
        <v>5637</v>
      </c>
      <c r="D66" s="1" t="s">
        <v>5657</v>
      </c>
      <c r="E66" s="1" t="s">
        <v>52</v>
      </c>
      <c r="F66" s="1" t="s">
        <v>4518</v>
      </c>
      <c r="G66" s="1" t="s">
        <v>4518</v>
      </c>
      <c r="H66" s="1" t="s">
        <v>4518</v>
      </c>
      <c r="I66" s="1" t="s">
        <v>4518</v>
      </c>
      <c r="J66" s="1" t="s">
        <v>4518</v>
      </c>
      <c r="K66" s="1" t="s">
        <v>4518</v>
      </c>
      <c r="L66" s="1" t="s">
        <v>4518</v>
      </c>
      <c r="M66" s="1" t="s">
        <v>4518</v>
      </c>
      <c r="N66" s="1" t="s">
        <v>5568</v>
      </c>
      <c r="O66" s="1" t="s">
        <v>4518</v>
      </c>
      <c r="P66" s="1" t="s">
        <v>4518</v>
      </c>
      <c r="Q66" s="1" t="s">
        <v>4518</v>
      </c>
    </row>
    <row r="67" spans="1:17" x14ac:dyDescent="0.2">
      <c r="A67" s="1" t="s">
        <v>5658</v>
      </c>
      <c r="B67" s="1" t="s">
        <v>5286</v>
      </c>
      <c r="C67" s="1" t="s">
        <v>5637</v>
      </c>
      <c r="D67" s="1" t="s">
        <v>5659</v>
      </c>
      <c r="E67" s="1" t="s">
        <v>52</v>
      </c>
      <c r="F67" s="1" t="s">
        <v>4518</v>
      </c>
      <c r="G67" s="1" t="s">
        <v>4518</v>
      </c>
      <c r="H67" s="1" t="s">
        <v>4518</v>
      </c>
      <c r="I67" s="1" t="s">
        <v>4518</v>
      </c>
      <c r="J67" s="1" t="s">
        <v>4518</v>
      </c>
      <c r="K67" s="1" t="s">
        <v>4518</v>
      </c>
      <c r="L67" s="1" t="s">
        <v>4518</v>
      </c>
      <c r="M67" s="1" t="s">
        <v>4518</v>
      </c>
      <c r="N67" s="1" t="s">
        <v>5568</v>
      </c>
      <c r="O67" s="1" t="s">
        <v>4518</v>
      </c>
      <c r="P67" s="1" t="s">
        <v>4518</v>
      </c>
      <c r="Q67" s="1" t="s">
        <v>4518</v>
      </c>
    </row>
    <row r="68" spans="1:17" x14ac:dyDescent="0.2">
      <c r="A68" s="1" t="s">
        <v>5660</v>
      </c>
      <c r="B68" s="1" t="s">
        <v>196</v>
      </c>
      <c r="C68" s="1" t="s">
        <v>5637</v>
      </c>
      <c r="D68" s="1" t="s">
        <v>5661</v>
      </c>
      <c r="E68" s="1" t="s">
        <v>52</v>
      </c>
      <c r="F68" s="1" t="s">
        <v>4518</v>
      </c>
      <c r="G68" s="1" t="s">
        <v>4518</v>
      </c>
      <c r="H68" s="1" t="s">
        <v>4518</v>
      </c>
      <c r="I68" s="1" t="s">
        <v>4518</v>
      </c>
      <c r="J68" s="1" t="s">
        <v>4518</v>
      </c>
      <c r="K68" s="1" t="s">
        <v>4518</v>
      </c>
      <c r="L68" s="1" t="s">
        <v>4518</v>
      </c>
      <c r="M68" s="1" t="s">
        <v>4518</v>
      </c>
      <c r="N68" s="1" t="s">
        <v>5568</v>
      </c>
      <c r="O68" s="1" t="s">
        <v>4518</v>
      </c>
      <c r="P68" s="1" t="s">
        <v>4518</v>
      </c>
      <c r="Q68" s="1" t="s">
        <v>4518</v>
      </c>
    </row>
    <row r="69" spans="1:17" x14ac:dyDescent="0.2">
      <c r="A69" s="1" t="s">
        <v>5662</v>
      </c>
      <c r="B69" s="1" t="s">
        <v>197</v>
      </c>
      <c r="C69" s="1" t="s">
        <v>5637</v>
      </c>
      <c r="D69" s="1" t="s">
        <v>5663</v>
      </c>
      <c r="E69" s="1" t="s">
        <v>52</v>
      </c>
      <c r="F69" s="1" t="s">
        <v>4518</v>
      </c>
      <c r="G69" s="1" t="s">
        <v>4518</v>
      </c>
      <c r="H69" s="1" t="s">
        <v>4518</v>
      </c>
      <c r="I69" s="1" t="s">
        <v>4518</v>
      </c>
      <c r="J69" s="1" t="s">
        <v>4518</v>
      </c>
      <c r="K69" s="1" t="s">
        <v>4518</v>
      </c>
      <c r="L69" s="1" t="s">
        <v>4518</v>
      </c>
      <c r="M69" s="1" t="s">
        <v>4518</v>
      </c>
      <c r="N69" s="1" t="s">
        <v>5568</v>
      </c>
      <c r="O69" s="1" t="s">
        <v>4518</v>
      </c>
      <c r="P69" s="1" t="s">
        <v>4518</v>
      </c>
      <c r="Q69" s="1" t="s">
        <v>4518</v>
      </c>
    </row>
    <row r="70" spans="1:17" x14ac:dyDescent="0.2">
      <c r="A70" s="1" t="s">
        <v>5664</v>
      </c>
      <c r="B70" s="1" t="s">
        <v>198</v>
      </c>
      <c r="C70" s="1" t="s">
        <v>5637</v>
      </c>
      <c r="D70" s="1" t="s">
        <v>5665</v>
      </c>
      <c r="E70" s="1" t="s">
        <v>52</v>
      </c>
      <c r="F70" s="1" t="s">
        <v>4518</v>
      </c>
      <c r="G70" s="1" t="s">
        <v>4518</v>
      </c>
      <c r="H70" s="1" t="s">
        <v>4518</v>
      </c>
      <c r="I70" s="1" t="s">
        <v>4518</v>
      </c>
      <c r="J70" s="1" t="s">
        <v>4518</v>
      </c>
      <c r="K70" s="1" t="s">
        <v>4518</v>
      </c>
      <c r="L70" s="1" t="s">
        <v>4518</v>
      </c>
      <c r="M70" s="1" t="s">
        <v>4518</v>
      </c>
      <c r="N70" s="1" t="s">
        <v>5568</v>
      </c>
      <c r="O70" s="1" t="s">
        <v>4518</v>
      </c>
      <c r="P70" s="1" t="s">
        <v>4518</v>
      </c>
      <c r="Q70" s="1" t="s">
        <v>4518</v>
      </c>
    </row>
    <row r="71" spans="1:17" x14ac:dyDescent="0.2">
      <c r="A71" s="1" t="s">
        <v>5666</v>
      </c>
      <c r="B71" s="1" t="s">
        <v>5287</v>
      </c>
      <c r="C71" s="1" t="s">
        <v>5637</v>
      </c>
      <c r="E71" s="1" t="s">
        <v>52</v>
      </c>
      <c r="F71" s="1" t="s">
        <v>4518</v>
      </c>
      <c r="G71" s="1" t="s">
        <v>4518</v>
      </c>
      <c r="H71" s="1" t="s">
        <v>4518</v>
      </c>
      <c r="I71" s="1" t="s">
        <v>4518</v>
      </c>
      <c r="J71" s="1" t="s">
        <v>4518</v>
      </c>
      <c r="K71" s="1" t="s">
        <v>4518</v>
      </c>
      <c r="L71" s="1" t="s">
        <v>4518</v>
      </c>
      <c r="M71" s="1" t="s">
        <v>4518</v>
      </c>
      <c r="N71" s="1" t="s">
        <v>5568</v>
      </c>
      <c r="O71" s="1" t="s">
        <v>4518</v>
      </c>
      <c r="P71" s="1" t="s">
        <v>4518</v>
      </c>
      <c r="Q71" s="1" t="s">
        <v>4518</v>
      </c>
    </row>
    <row r="72" spans="1:17" x14ac:dyDescent="0.2">
      <c r="A72" s="1" t="s">
        <v>5667</v>
      </c>
      <c r="B72" s="1" t="s">
        <v>199</v>
      </c>
      <c r="C72" s="1" t="s">
        <v>5637</v>
      </c>
      <c r="D72" s="1" t="s">
        <v>5668</v>
      </c>
      <c r="E72" s="1" t="s">
        <v>52</v>
      </c>
      <c r="F72" s="1" t="s">
        <v>4518</v>
      </c>
      <c r="G72" s="1" t="s">
        <v>4518</v>
      </c>
      <c r="H72" s="1" t="s">
        <v>4518</v>
      </c>
      <c r="I72" s="1" t="s">
        <v>4518</v>
      </c>
      <c r="J72" s="1" t="s">
        <v>4518</v>
      </c>
      <c r="K72" s="1" t="s">
        <v>4518</v>
      </c>
      <c r="L72" s="1" t="s">
        <v>4518</v>
      </c>
      <c r="M72" s="1" t="s">
        <v>4518</v>
      </c>
      <c r="N72" s="1" t="s">
        <v>5568</v>
      </c>
      <c r="O72" s="1" t="s">
        <v>4518</v>
      </c>
      <c r="P72" s="1" t="s">
        <v>4518</v>
      </c>
      <c r="Q72" s="1" t="s">
        <v>4518</v>
      </c>
    </row>
    <row r="73" spans="1:17" x14ac:dyDescent="0.2">
      <c r="A73" s="1" t="s">
        <v>5669</v>
      </c>
      <c r="B73" s="1" t="s">
        <v>5288</v>
      </c>
      <c r="C73" s="1" t="s">
        <v>5637</v>
      </c>
      <c r="E73" s="1" t="s">
        <v>52</v>
      </c>
      <c r="F73" s="1" t="s">
        <v>4518</v>
      </c>
      <c r="G73" s="1" t="s">
        <v>4518</v>
      </c>
      <c r="H73" s="1" t="s">
        <v>4518</v>
      </c>
      <c r="I73" s="1" t="s">
        <v>4518</v>
      </c>
      <c r="J73" s="1" t="s">
        <v>4518</v>
      </c>
      <c r="K73" s="1" t="s">
        <v>4518</v>
      </c>
      <c r="L73" s="1" t="s">
        <v>4518</v>
      </c>
      <c r="M73" s="1" t="s">
        <v>4518</v>
      </c>
      <c r="N73" s="1" t="s">
        <v>5568</v>
      </c>
      <c r="O73" s="1" t="s">
        <v>4518</v>
      </c>
      <c r="P73" s="1" t="s">
        <v>4518</v>
      </c>
      <c r="Q73" s="1" t="s">
        <v>4518</v>
      </c>
    </row>
    <row r="74" spans="1:17" x14ac:dyDescent="0.2">
      <c r="A74" s="1" t="s">
        <v>5670</v>
      </c>
      <c r="B74" s="1" t="s">
        <v>200</v>
      </c>
      <c r="C74" s="1" t="s">
        <v>5637</v>
      </c>
      <c r="D74" s="1" t="s">
        <v>5671</v>
      </c>
      <c r="E74" s="1" t="s">
        <v>52</v>
      </c>
      <c r="F74" s="1" t="s">
        <v>4518</v>
      </c>
      <c r="G74" s="1" t="s">
        <v>4518</v>
      </c>
      <c r="H74" s="1" t="s">
        <v>4518</v>
      </c>
      <c r="I74" s="1" t="s">
        <v>4518</v>
      </c>
      <c r="J74" s="1" t="s">
        <v>4518</v>
      </c>
      <c r="K74" s="1" t="s">
        <v>4518</v>
      </c>
      <c r="L74" s="1" t="s">
        <v>4518</v>
      </c>
      <c r="M74" s="1" t="s">
        <v>4518</v>
      </c>
      <c r="N74" s="1" t="s">
        <v>5568</v>
      </c>
      <c r="O74" s="1" t="s">
        <v>4518</v>
      </c>
      <c r="P74" s="1" t="s">
        <v>4518</v>
      </c>
      <c r="Q74" s="1" t="s">
        <v>4518</v>
      </c>
    </row>
    <row r="75" spans="1:17" x14ac:dyDescent="0.2">
      <c r="A75" s="1" t="s">
        <v>5672</v>
      </c>
      <c r="B75" s="1" t="s">
        <v>5289</v>
      </c>
      <c r="C75" s="1" t="s">
        <v>5637</v>
      </c>
      <c r="E75" s="1" t="s">
        <v>52</v>
      </c>
      <c r="F75" s="1" t="s">
        <v>4518</v>
      </c>
      <c r="G75" s="1" t="s">
        <v>4518</v>
      </c>
      <c r="H75" s="1" t="s">
        <v>4518</v>
      </c>
      <c r="I75" s="1" t="s">
        <v>4518</v>
      </c>
      <c r="J75" s="1" t="s">
        <v>4518</v>
      </c>
      <c r="K75" s="1" t="s">
        <v>4518</v>
      </c>
      <c r="L75" s="1" t="s">
        <v>4518</v>
      </c>
      <c r="M75" s="1" t="s">
        <v>4518</v>
      </c>
      <c r="N75" s="1" t="s">
        <v>5568</v>
      </c>
      <c r="O75" s="1" t="s">
        <v>4518</v>
      </c>
      <c r="P75" s="1" t="s">
        <v>4518</v>
      </c>
      <c r="Q75" s="1" t="s">
        <v>4518</v>
      </c>
    </row>
    <row r="76" spans="1:17" x14ac:dyDescent="0.2">
      <c r="A76" s="1" t="s">
        <v>5673</v>
      </c>
      <c r="B76" s="1" t="s">
        <v>5290</v>
      </c>
      <c r="C76" s="1" t="s">
        <v>5637</v>
      </c>
      <c r="E76" s="1" t="s">
        <v>52</v>
      </c>
      <c r="F76" s="1" t="s">
        <v>4518</v>
      </c>
      <c r="G76" s="1" t="s">
        <v>4518</v>
      </c>
      <c r="H76" s="1" t="s">
        <v>4518</v>
      </c>
      <c r="I76" s="1" t="s">
        <v>4518</v>
      </c>
      <c r="J76" s="1" t="s">
        <v>4518</v>
      </c>
      <c r="K76" s="1" t="s">
        <v>4518</v>
      </c>
      <c r="L76" s="1" t="s">
        <v>4518</v>
      </c>
      <c r="M76" s="1" t="s">
        <v>4518</v>
      </c>
      <c r="N76" s="1" t="s">
        <v>5568</v>
      </c>
      <c r="O76" s="1" t="s">
        <v>4518</v>
      </c>
      <c r="P76" s="1" t="s">
        <v>4518</v>
      </c>
      <c r="Q76" s="1" t="s">
        <v>4518</v>
      </c>
    </row>
    <row r="77" spans="1:17" x14ac:dyDescent="0.2">
      <c r="A77" s="1" t="s">
        <v>5674</v>
      </c>
      <c r="B77" s="1" t="s">
        <v>201</v>
      </c>
      <c r="C77" s="1" t="s">
        <v>5637</v>
      </c>
      <c r="D77" s="1" t="s">
        <v>5675</v>
      </c>
      <c r="E77" s="1" t="s">
        <v>52</v>
      </c>
      <c r="F77" s="1" t="s">
        <v>4518</v>
      </c>
      <c r="G77" s="1" t="s">
        <v>4518</v>
      </c>
      <c r="H77" s="1" t="s">
        <v>4518</v>
      </c>
      <c r="I77" s="1" t="s">
        <v>4518</v>
      </c>
      <c r="J77" s="1" t="s">
        <v>4518</v>
      </c>
      <c r="K77" s="1" t="s">
        <v>4518</v>
      </c>
      <c r="L77" s="1" t="s">
        <v>4518</v>
      </c>
      <c r="M77" s="1" t="s">
        <v>4518</v>
      </c>
      <c r="N77" s="1" t="s">
        <v>5568</v>
      </c>
      <c r="O77" s="1" t="s">
        <v>4518</v>
      </c>
      <c r="P77" s="1" t="s">
        <v>4518</v>
      </c>
      <c r="Q77" s="1" t="s">
        <v>4518</v>
      </c>
    </row>
    <row r="78" spans="1:17" x14ac:dyDescent="0.2">
      <c r="A78" s="1" t="s">
        <v>5676</v>
      </c>
      <c r="B78" s="1" t="s">
        <v>5291</v>
      </c>
      <c r="C78" s="1" t="s">
        <v>5637</v>
      </c>
      <c r="E78" s="1" t="s">
        <v>52</v>
      </c>
      <c r="F78" s="1" t="s">
        <v>4518</v>
      </c>
      <c r="G78" s="1" t="s">
        <v>4518</v>
      </c>
      <c r="H78" s="1" t="s">
        <v>4518</v>
      </c>
      <c r="I78" s="1" t="s">
        <v>4518</v>
      </c>
      <c r="J78" s="1" t="s">
        <v>4518</v>
      </c>
      <c r="K78" s="1" t="s">
        <v>4518</v>
      </c>
      <c r="L78" s="1" t="s">
        <v>4518</v>
      </c>
      <c r="M78" s="1" t="s">
        <v>4518</v>
      </c>
      <c r="N78" s="1" t="s">
        <v>5568</v>
      </c>
      <c r="O78" s="1" t="s">
        <v>4518</v>
      </c>
      <c r="P78" s="1" t="s">
        <v>4518</v>
      </c>
      <c r="Q78" s="1" t="s">
        <v>4518</v>
      </c>
    </row>
    <row r="79" spans="1:17" x14ac:dyDescent="0.2">
      <c r="A79" s="1" t="s">
        <v>5677</v>
      </c>
      <c r="B79" s="1" t="s">
        <v>5292</v>
      </c>
      <c r="C79" s="1" t="s">
        <v>5637</v>
      </c>
      <c r="E79" s="1" t="s">
        <v>52</v>
      </c>
      <c r="F79" s="1" t="s">
        <v>4518</v>
      </c>
      <c r="G79" s="1" t="s">
        <v>4518</v>
      </c>
      <c r="H79" s="1" t="s">
        <v>4518</v>
      </c>
      <c r="I79" s="1" t="s">
        <v>4518</v>
      </c>
      <c r="J79" s="1" t="s">
        <v>4518</v>
      </c>
      <c r="K79" s="1" t="s">
        <v>4518</v>
      </c>
      <c r="L79" s="1" t="s">
        <v>4518</v>
      </c>
      <c r="M79" s="1" t="s">
        <v>4518</v>
      </c>
      <c r="N79" s="1" t="s">
        <v>5568</v>
      </c>
      <c r="O79" s="1" t="s">
        <v>4518</v>
      </c>
      <c r="P79" s="1" t="s">
        <v>4518</v>
      </c>
      <c r="Q79" s="1" t="s">
        <v>4518</v>
      </c>
    </row>
    <row r="80" spans="1:17" x14ac:dyDescent="0.2">
      <c r="A80" s="1" t="s">
        <v>5678</v>
      </c>
      <c r="B80" s="1" t="s">
        <v>202</v>
      </c>
      <c r="C80" s="1" t="s">
        <v>5637</v>
      </c>
      <c r="D80" s="1" t="s">
        <v>5679</v>
      </c>
      <c r="E80" s="1" t="s">
        <v>52</v>
      </c>
      <c r="F80" s="1" t="s">
        <v>4518</v>
      </c>
      <c r="G80" s="1" t="s">
        <v>4518</v>
      </c>
      <c r="H80" s="1" t="s">
        <v>4518</v>
      </c>
      <c r="I80" s="1" t="s">
        <v>4518</v>
      </c>
      <c r="J80" s="1" t="s">
        <v>4518</v>
      </c>
      <c r="K80" s="1" t="s">
        <v>4518</v>
      </c>
      <c r="L80" s="1" t="s">
        <v>4518</v>
      </c>
      <c r="M80" s="1" t="s">
        <v>4518</v>
      </c>
      <c r="N80" s="1" t="s">
        <v>5568</v>
      </c>
      <c r="O80" s="1" t="s">
        <v>4518</v>
      </c>
      <c r="P80" s="1" t="s">
        <v>4518</v>
      </c>
      <c r="Q80" s="1" t="s">
        <v>4518</v>
      </c>
    </row>
    <row r="81" spans="1:17" x14ac:dyDescent="0.2">
      <c r="A81" s="1" t="s">
        <v>5680</v>
      </c>
      <c r="B81" s="1" t="s">
        <v>5293</v>
      </c>
      <c r="C81" s="1" t="s">
        <v>5637</v>
      </c>
      <c r="D81" s="1" t="s">
        <v>5681</v>
      </c>
      <c r="E81" s="1" t="s">
        <v>52</v>
      </c>
      <c r="F81" s="1" t="s">
        <v>4518</v>
      </c>
      <c r="G81" s="1" t="s">
        <v>4518</v>
      </c>
      <c r="H81" s="1" t="s">
        <v>4518</v>
      </c>
      <c r="I81" s="1" t="s">
        <v>4518</v>
      </c>
      <c r="J81" s="1" t="s">
        <v>4518</v>
      </c>
      <c r="K81" s="1" t="s">
        <v>4518</v>
      </c>
      <c r="L81" s="1" t="s">
        <v>4518</v>
      </c>
      <c r="M81" s="1" t="s">
        <v>4518</v>
      </c>
      <c r="N81" s="1" t="s">
        <v>5568</v>
      </c>
      <c r="O81" s="1" t="s">
        <v>4518</v>
      </c>
      <c r="P81" s="1" t="s">
        <v>4518</v>
      </c>
      <c r="Q81" s="1" t="s">
        <v>4518</v>
      </c>
    </row>
    <row r="82" spans="1:17" x14ac:dyDescent="0.2">
      <c r="A82" s="1" t="s">
        <v>5682</v>
      </c>
      <c r="B82" s="1" t="s">
        <v>203</v>
      </c>
      <c r="C82" s="1" t="s">
        <v>5637</v>
      </c>
      <c r="D82" s="1" t="s">
        <v>5683</v>
      </c>
      <c r="E82" s="1" t="s">
        <v>52</v>
      </c>
      <c r="F82" s="1" t="s">
        <v>4518</v>
      </c>
      <c r="G82" s="1" t="s">
        <v>4518</v>
      </c>
      <c r="H82" s="1" t="s">
        <v>4518</v>
      </c>
      <c r="I82" s="1" t="s">
        <v>4518</v>
      </c>
      <c r="J82" s="1" t="s">
        <v>4518</v>
      </c>
      <c r="K82" s="1" t="s">
        <v>4518</v>
      </c>
      <c r="L82" s="1" t="s">
        <v>4518</v>
      </c>
      <c r="M82" s="1" t="s">
        <v>4518</v>
      </c>
      <c r="N82" s="1" t="s">
        <v>5568</v>
      </c>
      <c r="O82" s="1" t="s">
        <v>4518</v>
      </c>
      <c r="P82" s="1" t="s">
        <v>4518</v>
      </c>
      <c r="Q82" s="1" t="s">
        <v>4518</v>
      </c>
    </row>
    <row r="83" spans="1:17" x14ac:dyDescent="0.2">
      <c r="A83" s="1" t="s">
        <v>5684</v>
      </c>
      <c r="B83" s="1" t="s">
        <v>204</v>
      </c>
      <c r="C83" s="1" t="s">
        <v>5637</v>
      </c>
      <c r="E83" s="1" t="s">
        <v>52</v>
      </c>
      <c r="F83" s="1" t="s">
        <v>4518</v>
      </c>
      <c r="G83" s="1" t="s">
        <v>4518</v>
      </c>
      <c r="H83" s="1" t="s">
        <v>4518</v>
      </c>
      <c r="I83" s="1" t="s">
        <v>4518</v>
      </c>
      <c r="J83" s="1" t="s">
        <v>4518</v>
      </c>
      <c r="K83" s="1" t="s">
        <v>4518</v>
      </c>
      <c r="L83" s="1" t="s">
        <v>4518</v>
      </c>
      <c r="M83" s="1" t="s">
        <v>4518</v>
      </c>
      <c r="N83" s="1" t="s">
        <v>5568</v>
      </c>
      <c r="O83" s="1" t="s">
        <v>4518</v>
      </c>
      <c r="P83" s="1" t="s">
        <v>4518</v>
      </c>
      <c r="Q83" s="1" t="s">
        <v>4518</v>
      </c>
    </row>
    <row r="84" spans="1:17" x14ac:dyDescent="0.2">
      <c r="A84" s="1" t="s">
        <v>5685</v>
      </c>
      <c r="B84" s="1" t="s">
        <v>205</v>
      </c>
      <c r="C84" s="1" t="s">
        <v>5637</v>
      </c>
      <c r="D84" s="1" t="s">
        <v>5686</v>
      </c>
      <c r="E84" s="1" t="s">
        <v>52</v>
      </c>
      <c r="F84" s="1" t="s">
        <v>4518</v>
      </c>
      <c r="G84" s="1" t="s">
        <v>4518</v>
      </c>
      <c r="H84" s="1" t="s">
        <v>4518</v>
      </c>
      <c r="I84" s="1" t="s">
        <v>4518</v>
      </c>
      <c r="J84" s="1" t="s">
        <v>4518</v>
      </c>
      <c r="K84" s="1" t="s">
        <v>4518</v>
      </c>
      <c r="L84" s="1" t="s">
        <v>4518</v>
      </c>
      <c r="M84" s="1" t="s">
        <v>4518</v>
      </c>
      <c r="N84" s="1" t="s">
        <v>5568</v>
      </c>
      <c r="O84" s="1" t="s">
        <v>4518</v>
      </c>
      <c r="P84" s="1" t="s">
        <v>4518</v>
      </c>
      <c r="Q84" s="1" t="s">
        <v>4518</v>
      </c>
    </row>
    <row r="85" spans="1:17" x14ac:dyDescent="0.2">
      <c r="A85" s="1" t="s">
        <v>5687</v>
      </c>
      <c r="B85" s="1" t="s">
        <v>5294</v>
      </c>
      <c r="C85" s="1" t="s">
        <v>5637</v>
      </c>
      <c r="D85" s="1" t="s">
        <v>5688</v>
      </c>
      <c r="E85" s="1" t="s">
        <v>52</v>
      </c>
      <c r="F85" s="1" t="s">
        <v>4518</v>
      </c>
      <c r="G85" s="1" t="s">
        <v>4518</v>
      </c>
      <c r="H85" s="1" t="s">
        <v>4518</v>
      </c>
      <c r="I85" s="1" t="s">
        <v>4518</v>
      </c>
      <c r="J85" s="1" t="s">
        <v>4518</v>
      </c>
      <c r="K85" s="1" t="s">
        <v>4518</v>
      </c>
      <c r="L85" s="1" t="s">
        <v>4518</v>
      </c>
      <c r="M85" s="1" t="s">
        <v>4518</v>
      </c>
      <c r="N85" s="1" t="s">
        <v>5568</v>
      </c>
      <c r="O85" s="1" t="s">
        <v>4518</v>
      </c>
      <c r="P85" s="1" t="s">
        <v>4518</v>
      </c>
      <c r="Q85" s="1" t="s">
        <v>4518</v>
      </c>
    </row>
    <row r="86" spans="1:17" x14ac:dyDescent="0.2">
      <c r="A86" s="1" t="s">
        <v>5689</v>
      </c>
      <c r="B86" s="1" t="s">
        <v>206</v>
      </c>
      <c r="C86" s="1" t="s">
        <v>5637</v>
      </c>
      <c r="D86" s="1" t="s">
        <v>5690</v>
      </c>
      <c r="E86" s="1" t="s">
        <v>52</v>
      </c>
      <c r="F86" s="1" t="s">
        <v>4518</v>
      </c>
      <c r="G86" s="1" t="s">
        <v>4518</v>
      </c>
      <c r="H86" s="1" t="s">
        <v>4518</v>
      </c>
      <c r="I86" s="1" t="s">
        <v>4518</v>
      </c>
      <c r="J86" s="1" t="s">
        <v>4518</v>
      </c>
      <c r="K86" s="1" t="s">
        <v>4518</v>
      </c>
      <c r="L86" s="1" t="s">
        <v>4518</v>
      </c>
      <c r="M86" s="1" t="s">
        <v>4518</v>
      </c>
      <c r="N86" s="1" t="s">
        <v>5568</v>
      </c>
      <c r="O86" s="1" t="s">
        <v>4518</v>
      </c>
      <c r="P86" s="1" t="s">
        <v>4518</v>
      </c>
      <c r="Q86" s="1" t="s">
        <v>4518</v>
      </c>
    </row>
    <row r="87" spans="1:17" x14ac:dyDescent="0.2">
      <c r="A87" s="1" t="s">
        <v>5691</v>
      </c>
      <c r="B87" s="1" t="s">
        <v>5295</v>
      </c>
      <c r="C87" s="1" t="s">
        <v>5637</v>
      </c>
      <c r="D87" s="1" t="s">
        <v>5692</v>
      </c>
      <c r="E87" s="1" t="s">
        <v>52</v>
      </c>
      <c r="F87" s="1" t="s">
        <v>4518</v>
      </c>
      <c r="G87" s="1" t="s">
        <v>4518</v>
      </c>
      <c r="H87" s="1" t="s">
        <v>4518</v>
      </c>
      <c r="I87" s="1" t="s">
        <v>4518</v>
      </c>
      <c r="J87" s="1" t="s">
        <v>4518</v>
      </c>
      <c r="K87" s="1" t="s">
        <v>4518</v>
      </c>
      <c r="L87" s="1" t="s">
        <v>4518</v>
      </c>
      <c r="M87" s="1" t="s">
        <v>4518</v>
      </c>
      <c r="N87" s="1" t="s">
        <v>5568</v>
      </c>
      <c r="O87" s="1" t="s">
        <v>4518</v>
      </c>
      <c r="P87" s="1" t="s">
        <v>4518</v>
      </c>
      <c r="Q87" s="1" t="s">
        <v>4518</v>
      </c>
    </row>
    <row r="88" spans="1:17" x14ac:dyDescent="0.2">
      <c r="A88" s="1" t="s">
        <v>5693</v>
      </c>
      <c r="B88" s="1" t="s">
        <v>5296</v>
      </c>
      <c r="C88" s="1" t="s">
        <v>5637</v>
      </c>
      <c r="D88" s="1" t="s">
        <v>5694</v>
      </c>
      <c r="E88" s="1" t="s">
        <v>52</v>
      </c>
      <c r="F88" s="1" t="s">
        <v>4518</v>
      </c>
      <c r="G88" s="1" t="s">
        <v>4518</v>
      </c>
      <c r="H88" s="1" t="s">
        <v>4518</v>
      </c>
      <c r="I88" s="1" t="s">
        <v>4518</v>
      </c>
      <c r="J88" s="1" t="s">
        <v>4518</v>
      </c>
      <c r="K88" s="1" t="s">
        <v>4518</v>
      </c>
      <c r="L88" s="1" t="s">
        <v>4518</v>
      </c>
      <c r="M88" s="1" t="s">
        <v>4518</v>
      </c>
      <c r="N88" s="1" t="s">
        <v>5568</v>
      </c>
      <c r="O88" s="1" t="s">
        <v>4518</v>
      </c>
      <c r="P88" s="1" t="s">
        <v>4518</v>
      </c>
      <c r="Q88" s="1" t="s">
        <v>4518</v>
      </c>
    </row>
    <row r="89" spans="1:17" x14ac:dyDescent="0.2">
      <c r="A89" s="1" t="s">
        <v>5695</v>
      </c>
      <c r="B89" s="1" t="s">
        <v>5297</v>
      </c>
      <c r="C89" s="1" t="s">
        <v>5637</v>
      </c>
      <c r="D89" s="1" t="s">
        <v>5696</v>
      </c>
      <c r="E89" s="1" t="s">
        <v>52</v>
      </c>
      <c r="F89" s="1" t="s">
        <v>4518</v>
      </c>
      <c r="G89" s="1" t="s">
        <v>4518</v>
      </c>
      <c r="H89" s="1" t="s">
        <v>4518</v>
      </c>
      <c r="I89" s="1" t="s">
        <v>4518</v>
      </c>
      <c r="J89" s="1" t="s">
        <v>4518</v>
      </c>
      <c r="K89" s="1" t="s">
        <v>4518</v>
      </c>
      <c r="L89" s="1" t="s">
        <v>4518</v>
      </c>
      <c r="M89" s="1" t="s">
        <v>4518</v>
      </c>
      <c r="N89" s="1" t="s">
        <v>5568</v>
      </c>
      <c r="O89" s="1" t="s">
        <v>4518</v>
      </c>
      <c r="P89" s="1" t="s">
        <v>4518</v>
      </c>
      <c r="Q89" s="1" t="s">
        <v>4518</v>
      </c>
    </row>
    <row r="90" spans="1:17" x14ac:dyDescent="0.2">
      <c r="A90" s="1" t="s">
        <v>5697</v>
      </c>
      <c r="B90" s="1" t="s">
        <v>5298</v>
      </c>
      <c r="C90" s="1" t="s">
        <v>5637</v>
      </c>
      <c r="D90" s="1" t="s">
        <v>5698</v>
      </c>
      <c r="E90" s="1" t="s">
        <v>52</v>
      </c>
      <c r="F90" s="1" t="s">
        <v>4518</v>
      </c>
      <c r="G90" s="1" t="s">
        <v>4518</v>
      </c>
      <c r="H90" s="1" t="s">
        <v>4518</v>
      </c>
      <c r="I90" s="1" t="s">
        <v>4518</v>
      </c>
      <c r="J90" s="1" t="s">
        <v>4518</v>
      </c>
      <c r="K90" s="1" t="s">
        <v>4518</v>
      </c>
      <c r="L90" s="1" t="s">
        <v>4518</v>
      </c>
      <c r="M90" s="1" t="s">
        <v>4518</v>
      </c>
      <c r="N90" s="1" t="s">
        <v>5568</v>
      </c>
      <c r="O90" s="1" t="s">
        <v>4518</v>
      </c>
      <c r="P90" s="1" t="s">
        <v>4518</v>
      </c>
      <c r="Q90" s="1" t="s">
        <v>4518</v>
      </c>
    </row>
    <row r="91" spans="1:17" x14ac:dyDescent="0.2">
      <c r="A91" s="1" t="s">
        <v>5699</v>
      </c>
      <c r="B91" s="1" t="s">
        <v>5299</v>
      </c>
      <c r="C91" s="1" t="s">
        <v>5637</v>
      </c>
      <c r="E91" s="1" t="s">
        <v>52</v>
      </c>
      <c r="F91" s="1" t="s">
        <v>4518</v>
      </c>
      <c r="G91" s="1" t="s">
        <v>4518</v>
      </c>
      <c r="H91" s="1" t="s">
        <v>4518</v>
      </c>
      <c r="I91" s="1" t="s">
        <v>4518</v>
      </c>
      <c r="J91" s="1" t="s">
        <v>4518</v>
      </c>
      <c r="K91" s="1" t="s">
        <v>4518</v>
      </c>
      <c r="L91" s="1" t="s">
        <v>4518</v>
      </c>
      <c r="M91" s="1" t="s">
        <v>4518</v>
      </c>
      <c r="N91" s="1" t="s">
        <v>5568</v>
      </c>
      <c r="O91" s="1" t="s">
        <v>4518</v>
      </c>
      <c r="P91" s="1" t="s">
        <v>4518</v>
      </c>
      <c r="Q91" s="1" t="s">
        <v>4518</v>
      </c>
    </row>
    <row r="92" spans="1:17" x14ac:dyDescent="0.2">
      <c r="A92" s="1" t="s">
        <v>5700</v>
      </c>
      <c r="B92" s="1" t="s">
        <v>5300</v>
      </c>
      <c r="C92" s="1" t="s">
        <v>5637</v>
      </c>
      <c r="D92" s="1" t="s">
        <v>5701</v>
      </c>
      <c r="E92" s="1" t="s">
        <v>52</v>
      </c>
      <c r="F92" s="1" t="s">
        <v>4518</v>
      </c>
      <c r="G92" s="1" t="s">
        <v>4518</v>
      </c>
      <c r="H92" s="1" t="s">
        <v>4518</v>
      </c>
      <c r="I92" s="1" t="s">
        <v>4518</v>
      </c>
      <c r="J92" s="1" t="s">
        <v>4518</v>
      </c>
      <c r="K92" s="1" t="s">
        <v>4518</v>
      </c>
      <c r="L92" s="1" t="s">
        <v>4518</v>
      </c>
      <c r="M92" s="1" t="s">
        <v>4518</v>
      </c>
      <c r="N92" s="1" t="s">
        <v>5568</v>
      </c>
      <c r="O92" s="1" t="s">
        <v>4518</v>
      </c>
      <c r="P92" s="1" t="s">
        <v>4518</v>
      </c>
      <c r="Q92" s="1" t="s">
        <v>4518</v>
      </c>
    </row>
    <row r="93" spans="1:17" x14ac:dyDescent="0.2">
      <c r="A93" s="1" t="s">
        <v>5702</v>
      </c>
      <c r="B93" s="1" t="s">
        <v>5301</v>
      </c>
      <c r="C93" s="1" t="s">
        <v>5637</v>
      </c>
      <c r="D93" s="1" t="s">
        <v>5703</v>
      </c>
      <c r="E93" s="1" t="s">
        <v>52</v>
      </c>
      <c r="F93" s="1" t="s">
        <v>4518</v>
      </c>
      <c r="G93" s="1" t="s">
        <v>4518</v>
      </c>
      <c r="H93" s="1" t="s">
        <v>4518</v>
      </c>
      <c r="I93" s="1" t="s">
        <v>4518</v>
      </c>
      <c r="J93" s="1" t="s">
        <v>4518</v>
      </c>
      <c r="K93" s="1" t="s">
        <v>4518</v>
      </c>
      <c r="L93" s="1" t="s">
        <v>4518</v>
      </c>
      <c r="M93" s="1" t="s">
        <v>4518</v>
      </c>
      <c r="N93" s="1" t="s">
        <v>5568</v>
      </c>
      <c r="O93" s="1" t="s">
        <v>4518</v>
      </c>
      <c r="P93" s="1" t="s">
        <v>4518</v>
      </c>
      <c r="Q93" s="1" t="s">
        <v>4518</v>
      </c>
    </row>
    <row r="94" spans="1:17" x14ac:dyDescent="0.2">
      <c r="A94" s="1" t="s">
        <v>5704</v>
      </c>
      <c r="B94" s="1" t="s">
        <v>5302</v>
      </c>
      <c r="C94" s="1" t="s">
        <v>5637</v>
      </c>
      <c r="E94" s="1" t="s">
        <v>52</v>
      </c>
      <c r="F94" s="1" t="s">
        <v>4518</v>
      </c>
      <c r="G94" s="1" t="s">
        <v>4518</v>
      </c>
      <c r="H94" s="1" t="s">
        <v>4518</v>
      </c>
      <c r="I94" s="1" t="s">
        <v>4518</v>
      </c>
      <c r="J94" s="1" t="s">
        <v>4518</v>
      </c>
      <c r="K94" s="1" t="s">
        <v>4518</v>
      </c>
      <c r="L94" s="1" t="s">
        <v>4518</v>
      </c>
      <c r="M94" s="1" t="s">
        <v>4518</v>
      </c>
      <c r="N94" s="1" t="s">
        <v>5568</v>
      </c>
      <c r="O94" s="1" t="s">
        <v>4518</v>
      </c>
      <c r="P94" s="1" t="s">
        <v>4518</v>
      </c>
      <c r="Q94" s="1" t="s">
        <v>4518</v>
      </c>
    </row>
    <row r="95" spans="1:17" x14ac:dyDescent="0.2">
      <c r="A95" s="1" t="s">
        <v>5705</v>
      </c>
      <c r="B95" s="1" t="s">
        <v>5303</v>
      </c>
      <c r="C95" s="1" t="s">
        <v>5637</v>
      </c>
      <c r="D95" s="1" t="s">
        <v>5706</v>
      </c>
      <c r="E95" s="1" t="s">
        <v>52</v>
      </c>
      <c r="F95" s="1" t="s">
        <v>4518</v>
      </c>
      <c r="G95" s="1" t="s">
        <v>4518</v>
      </c>
      <c r="H95" s="1" t="s">
        <v>4518</v>
      </c>
      <c r="I95" s="1" t="s">
        <v>4518</v>
      </c>
      <c r="J95" s="1" t="s">
        <v>4518</v>
      </c>
      <c r="K95" s="1" t="s">
        <v>4518</v>
      </c>
      <c r="L95" s="1" t="s">
        <v>4518</v>
      </c>
      <c r="M95" s="1" t="s">
        <v>4518</v>
      </c>
      <c r="N95" s="1" t="s">
        <v>5568</v>
      </c>
      <c r="O95" s="1" t="s">
        <v>4518</v>
      </c>
      <c r="P95" s="1" t="s">
        <v>4518</v>
      </c>
      <c r="Q95" s="1" t="s">
        <v>4518</v>
      </c>
    </row>
    <row r="96" spans="1:17" x14ac:dyDescent="0.2">
      <c r="A96" s="1" t="s">
        <v>5707</v>
      </c>
      <c r="B96" s="1" t="s">
        <v>5304</v>
      </c>
      <c r="C96" s="1" t="s">
        <v>5637</v>
      </c>
      <c r="E96" s="1" t="s">
        <v>52</v>
      </c>
      <c r="F96" s="1" t="s">
        <v>4518</v>
      </c>
      <c r="G96" s="1" t="s">
        <v>4518</v>
      </c>
      <c r="H96" s="1" t="s">
        <v>4518</v>
      </c>
      <c r="I96" s="1" t="s">
        <v>4518</v>
      </c>
      <c r="J96" s="1" t="s">
        <v>4518</v>
      </c>
      <c r="K96" s="1" t="s">
        <v>4518</v>
      </c>
      <c r="L96" s="1" t="s">
        <v>4518</v>
      </c>
      <c r="M96" s="1" t="s">
        <v>4518</v>
      </c>
      <c r="N96" s="1" t="s">
        <v>5568</v>
      </c>
      <c r="O96" s="1" t="s">
        <v>4518</v>
      </c>
      <c r="P96" s="1" t="s">
        <v>4518</v>
      </c>
      <c r="Q96" s="1" t="s">
        <v>4518</v>
      </c>
    </row>
    <row r="97" spans="1:17" x14ac:dyDescent="0.2">
      <c r="A97" s="1" t="s">
        <v>5708</v>
      </c>
      <c r="B97" s="1" t="s">
        <v>5305</v>
      </c>
      <c r="C97" s="1" t="s">
        <v>5637</v>
      </c>
      <c r="D97" s="1" t="s">
        <v>5709</v>
      </c>
      <c r="E97" s="1" t="s">
        <v>52</v>
      </c>
      <c r="F97" s="1" t="s">
        <v>4518</v>
      </c>
      <c r="G97" s="1" t="s">
        <v>4518</v>
      </c>
      <c r="H97" s="1" t="s">
        <v>4518</v>
      </c>
      <c r="I97" s="1" t="s">
        <v>4518</v>
      </c>
      <c r="J97" s="1" t="s">
        <v>4518</v>
      </c>
      <c r="K97" s="1" t="s">
        <v>4518</v>
      </c>
      <c r="L97" s="1" t="s">
        <v>4518</v>
      </c>
      <c r="M97" s="1" t="s">
        <v>4518</v>
      </c>
      <c r="N97" s="1" t="s">
        <v>5568</v>
      </c>
      <c r="O97" s="1" t="s">
        <v>4518</v>
      </c>
      <c r="P97" s="1" t="s">
        <v>4518</v>
      </c>
      <c r="Q97" s="1" t="s">
        <v>4518</v>
      </c>
    </row>
    <row r="98" spans="1:17" x14ac:dyDescent="0.2">
      <c r="A98" s="1" t="s">
        <v>5710</v>
      </c>
      <c r="B98" s="1" t="s">
        <v>5306</v>
      </c>
      <c r="C98" s="1" t="s">
        <v>5637</v>
      </c>
      <c r="D98" s="1" t="s">
        <v>5711</v>
      </c>
      <c r="E98" s="1" t="s">
        <v>52</v>
      </c>
      <c r="F98" s="1" t="s">
        <v>4518</v>
      </c>
      <c r="G98" s="1" t="s">
        <v>4518</v>
      </c>
      <c r="H98" s="1" t="s">
        <v>4518</v>
      </c>
      <c r="I98" s="1" t="s">
        <v>4518</v>
      </c>
      <c r="J98" s="1" t="s">
        <v>4518</v>
      </c>
      <c r="K98" s="1" t="s">
        <v>4518</v>
      </c>
      <c r="L98" s="1" t="s">
        <v>4518</v>
      </c>
      <c r="M98" s="1" t="s">
        <v>4518</v>
      </c>
      <c r="N98" s="1" t="s">
        <v>5568</v>
      </c>
      <c r="O98" s="1" t="s">
        <v>4518</v>
      </c>
      <c r="P98" s="1" t="s">
        <v>4518</v>
      </c>
      <c r="Q98" s="1" t="s">
        <v>4518</v>
      </c>
    </row>
    <row r="99" spans="1:17" x14ac:dyDescent="0.2">
      <c r="A99" s="1" t="s">
        <v>5712</v>
      </c>
      <c r="B99" s="1" t="s">
        <v>5307</v>
      </c>
      <c r="C99" s="1" t="s">
        <v>5637</v>
      </c>
      <c r="D99" s="1" t="s">
        <v>5713</v>
      </c>
      <c r="E99" s="1" t="s">
        <v>52</v>
      </c>
      <c r="F99" s="1" t="s">
        <v>4518</v>
      </c>
      <c r="G99" s="1" t="s">
        <v>4518</v>
      </c>
      <c r="H99" s="1" t="s">
        <v>4518</v>
      </c>
      <c r="I99" s="1" t="s">
        <v>4518</v>
      </c>
      <c r="J99" s="1" t="s">
        <v>4518</v>
      </c>
      <c r="K99" s="1" t="s">
        <v>4518</v>
      </c>
      <c r="L99" s="1" t="s">
        <v>4518</v>
      </c>
      <c r="M99" s="1" t="s">
        <v>4518</v>
      </c>
      <c r="N99" s="1" t="s">
        <v>5568</v>
      </c>
      <c r="O99" s="1" t="s">
        <v>4518</v>
      </c>
      <c r="P99" s="1" t="s">
        <v>4518</v>
      </c>
      <c r="Q99" s="1" t="s">
        <v>4518</v>
      </c>
    </row>
    <row r="100" spans="1:17" x14ac:dyDescent="0.2">
      <c r="A100" s="1" t="s">
        <v>5714</v>
      </c>
      <c r="B100" s="1" t="s">
        <v>5715</v>
      </c>
      <c r="C100" s="1" t="s">
        <v>5637</v>
      </c>
      <c r="D100" s="1" t="s">
        <v>5716</v>
      </c>
      <c r="E100" s="1" t="s">
        <v>52</v>
      </c>
      <c r="F100" s="1" t="s">
        <v>4518</v>
      </c>
      <c r="G100" s="1" t="s">
        <v>4518</v>
      </c>
      <c r="H100" s="1" t="s">
        <v>4518</v>
      </c>
      <c r="I100" s="1" t="s">
        <v>4518</v>
      </c>
      <c r="J100" s="1" t="s">
        <v>4518</v>
      </c>
      <c r="K100" s="1" t="s">
        <v>4518</v>
      </c>
      <c r="L100" s="1" t="s">
        <v>4518</v>
      </c>
      <c r="M100" s="1" t="s">
        <v>4518</v>
      </c>
      <c r="N100" s="1" t="s">
        <v>5568</v>
      </c>
      <c r="O100" s="1" t="s">
        <v>4518</v>
      </c>
      <c r="P100" s="1" t="s">
        <v>4518</v>
      </c>
      <c r="Q100" s="1" t="s">
        <v>4518</v>
      </c>
    </row>
    <row r="101" spans="1:17" x14ac:dyDescent="0.2">
      <c r="A101" s="1" t="s">
        <v>5717</v>
      </c>
      <c r="B101" s="1" t="s">
        <v>5308</v>
      </c>
      <c r="C101" s="1" t="s">
        <v>5637</v>
      </c>
      <c r="E101" s="1" t="s">
        <v>52</v>
      </c>
      <c r="F101" s="1" t="s">
        <v>4518</v>
      </c>
      <c r="G101" s="1" t="s">
        <v>4518</v>
      </c>
      <c r="H101" s="1" t="s">
        <v>4518</v>
      </c>
      <c r="I101" s="1" t="s">
        <v>4518</v>
      </c>
      <c r="J101" s="1" t="s">
        <v>4518</v>
      </c>
      <c r="K101" s="1" t="s">
        <v>4518</v>
      </c>
      <c r="L101" s="1" t="s">
        <v>4518</v>
      </c>
      <c r="M101" s="1" t="s">
        <v>4518</v>
      </c>
      <c r="N101" s="1" t="s">
        <v>5568</v>
      </c>
      <c r="O101" s="1" t="s">
        <v>4518</v>
      </c>
      <c r="P101" s="1" t="s">
        <v>4518</v>
      </c>
      <c r="Q101" s="1" t="s">
        <v>4518</v>
      </c>
    </row>
    <row r="102" spans="1:17" x14ac:dyDescent="0.2">
      <c r="A102" s="1" t="s">
        <v>5718</v>
      </c>
      <c r="B102" s="1" t="s">
        <v>5309</v>
      </c>
      <c r="C102" s="1" t="s">
        <v>5637</v>
      </c>
      <c r="E102" s="1" t="s">
        <v>52</v>
      </c>
      <c r="F102" s="1" t="s">
        <v>4518</v>
      </c>
      <c r="G102" s="1" t="s">
        <v>4518</v>
      </c>
      <c r="H102" s="1" t="s">
        <v>4518</v>
      </c>
      <c r="I102" s="1" t="s">
        <v>4518</v>
      </c>
      <c r="J102" s="1" t="s">
        <v>4518</v>
      </c>
      <c r="K102" s="1" t="s">
        <v>4518</v>
      </c>
      <c r="L102" s="1" t="s">
        <v>4518</v>
      </c>
      <c r="M102" s="1" t="s">
        <v>4518</v>
      </c>
      <c r="N102" s="1" t="s">
        <v>5568</v>
      </c>
      <c r="O102" s="1" t="s">
        <v>4518</v>
      </c>
      <c r="P102" s="1" t="s">
        <v>4518</v>
      </c>
      <c r="Q102" s="1" t="s">
        <v>4518</v>
      </c>
    </row>
    <row r="103" spans="1:17" x14ac:dyDescent="0.2">
      <c r="A103" s="1" t="s">
        <v>5719</v>
      </c>
      <c r="B103" s="1" t="s">
        <v>5310</v>
      </c>
      <c r="C103" s="1" t="s">
        <v>5637</v>
      </c>
      <c r="E103" s="1" t="s">
        <v>52</v>
      </c>
      <c r="F103" s="1" t="s">
        <v>4518</v>
      </c>
      <c r="G103" s="1" t="s">
        <v>4518</v>
      </c>
      <c r="H103" s="1" t="s">
        <v>4518</v>
      </c>
      <c r="I103" s="1" t="s">
        <v>4518</v>
      </c>
      <c r="J103" s="1" t="s">
        <v>4518</v>
      </c>
      <c r="K103" s="1" t="s">
        <v>4518</v>
      </c>
      <c r="L103" s="1" t="s">
        <v>4518</v>
      </c>
      <c r="M103" s="1" t="s">
        <v>4518</v>
      </c>
      <c r="N103" s="1" t="s">
        <v>5568</v>
      </c>
      <c r="O103" s="1" t="s">
        <v>4518</v>
      </c>
      <c r="P103" s="1" t="s">
        <v>4518</v>
      </c>
      <c r="Q103" s="1" t="s">
        <v>4518</v>
      </c>
    </row>
    <row r="104" spans="1:17" x14ac:dyDescent="0.2">
      <c r="A104" s="1" t="s">
        <v>5720</v>
      </c>
      <c r="B104" s="1" t="s">
        <v>5311</v>
      </c>
      <c r="C104" s="1" t="s">
        <v>5637</v>
      </c>
      <c r="E104" s="1" t="s">
        <v>52</v>
      </c>
      <c r="F104" s="1" t="s">
        <v>4518</v>
      </c>
      <c r="G104" s="1" t="s">
        <v>4518</v>
      </c>
      <c r="H104" s="1" t="s">
        <v>4518</v>
      </c>
      <c r="I104" s="1" t="s">
        <v>4518</v>
      </c>
      <c r="J104" s="1" t="s">
        <v>4518</v>
      </c>
      <c r="K104" s="1" t="s">
        <v>4518</v>
      </c>
      <c r="L104" s="1" t="s">
        <v>4518</v>
      </c>
      <c r="M104" s="1" t="s">
        <v>4518</v>
      </c>
      <c r="N104" s="1" t="s">
        <v>5568</v>
      </c>
      <c r="O104" s="1" t="s">
        <v>4518</v>
      </c>
      <c r="P104" s="1" t="s">
        <v>4518</v>
      </c>
      <c r="Q104" s="1" t="s">
        <v>4518</v>
      </c>
    </row>
    <row r="105" spans="1:17" x14ac:dyDescent="0.2">
      <c r="A105" s="1" t="s">
        <v>5721</v>
      </c>
      <c r="B105" s="1" t="s">
        <v>5312</v>
      </c>
      <c r="C105" s="1" t="s">
        <v>5637</v>
      </c>
      <c r="D105" s="1" t="s">
        <v>5722</v>
      </c>
      <c r="E105" s="1" t="s">
        <v>52</v>
      </c>
      <c r="F105" s="1" t="s">
        <v>4518</v>
      </c>
      <c r="G105" s="1" t="s">
        <v>4518</v>
      </c>
      <c r="H105" s="1" t="s">
        <v>4518</v>
      </c>
      <c r="I105" s="1" t="s">
        <v>4518</v>
      </c>
      <c r="J105" s="1" t="s">
        <v>4518</v>
      </c>
      <c r="K105" s="1" t="s">
        <v>4518</v>
      </c>
      <c r="L105" s="1" t="s">
        <v>4518</v>
      </c>
      <c r="M105" s="1" t="s">
        <v>4518</v>
      </c>
      <c r="N105" s="1" t="s">
        <v>5568</v>
      </c>
      <c r="O105" s="1" t="s">
        <v>4518</v>
      </c>
      <c r="P105" s="1" t="s">
        <v>4518</v>
      </c>
      <c r="Q105" s="1" t="s">
        <v>4518</v>
      </c>
    </row>
    <row r="106" spans="1:17" x14ac:dyDescent="0.2">
      <c r="A106" s="1" t="s">
        <v>5723</v>
      </c>
      <c r="B106" s="1" t="s">
        <v>5313</v>
      </c>
      <c r="C106" s="1" t="s">
        <v>5637</v>
      </c>
      <c r="E106" s="1" t="s">
        <v>52</v>
      </c>
      <c r="F106" s="1" t="s">
        <v>4518</v>
      </c>
      <c r="G106" s="1" t="s">
        <v>4518</v>
      </c>
      <c r="H106" s="1" t="s">
        <v>4518</v>
      </c>
      <c r="I106" s="1" t="s">
        <v>4518</v>
      </c>
      <c r="J106" s="1" t="s">
        <v>4518</v>
      </c>
      <c r="K106" s="1" t="s">
        <v>4518</v>
      </c>
      <c r="L106" s="1" t="s">
        <v>4518</v>
      </c>
      <c r="M106" s="1" t="s">
        <v>4518</v>
      </c>
      <c r="N106" s="1" t="s">
        <v>5568</v>
      </c>
      <c r="O106" s="1" t="s">
        <v>4518</v>
      </c>
      <c r="P106" s="1" t="s">
        <v>4518</v>
      </c>
      <c r="Q106" s="1" t="s">
        <v>4518</v>
      </c>
    </row>
    <row r="107" spans="1:17" x14ac:dyDescent="0.2">
      <c r="A107" s="1" t="s">
        <v>5724</v>
      </c>
      <c r="B107" s="1" t="s">
        <v>5314</v>
      </c>
      <c r="C107" s="1" t="s">
        <v>5637</v>
      </c>
      <c r="E107" s="1" t="s">
        <v>52</v>
      </c>
      <c r="F107" s="1" t="s">
        <v>4518</v>
      </c>
      <c r="G107" s="1" t="s">
        <v>4518</v>
      </c>
      <c r="H107" s="1" t="s">
        <v>4518</v>
      </c>
      <c r="I107" s="1" t="s">
        <v>4518</v>
      </c>
      <c r="J107" s="1" t="s">
        <v>4518</v>
      </c>
      <c r="K107" s="1" t="s">
        <v>4518</v>
      </c>
      <c r="L107" s="1" t="s">
        <v>4518</v>
      </c>
      <c r="M107" s="1" t="s">
        <v>4518</v>
      </c>
      <c r="N107" s="1" t="s">
        <v>5568</v>
      </c>
      <c r="O107" s="1" t="s">
        <v>4518</v>
      </c>
      <c r="P107" s="1" t="s">
        <v>4518</v>
      </c>
      <c r="Q107" s="1" t="s">
        <v>4518</v>
      </c>
    </row>
    <row r="108" spans="1:17" x14ac:dyDescent="0.2">
      <c r="A108" s="1" t="s">
        <v>5725</v>
      </c>
      <c r="B108" s="1" t="s">
        <v>5315</v>
      </c>
      <c r="C108" s="1" t="s">
        <v>5637</v>
      </c>
      <c r="D108" s="1" t="s">
        <v>5726</v>
      </c>
      <c r="E108" s="1" t="s">
        <v>52</v>
      </c>
      <c r="F108" s="1" t="s">
        <v>4518</v>
      </c>
      <c r="G108" s="1" t="s">
        <v>4518</v>
      </c>
      <c r="H108" s="1" t="s">
        <v>4518</v>
      </c>
      <c r="I108" s="1" t="s">
        <v>4518</v>
      </c>
      <c r="J108" s="1" t="s">
        <v>4518</v>
      </c>
      <c r="K108" s="1" t="s">
        <v>4518</v>
      </c>
      <c r="L108" s="1" t="s">
        <v>4518</v>
      </c>
      <c r="M108" s="1" t="s">
        <v>4518</v>
      </c>
      <c r="N108" s="1" t="s">
        <v>5568</v>
      </c>
      <c r="O108" s="1" t="s">
        <v>4518</v>
      </c>
      <c r="P108" s="1" t="s">
        <v>4518</v>
      </c>
      <c r="Q108" s="1" t="s">
        <v>4518</v>
      </c>
    </row>
    <row r="109" spans="1:17" x14ac:dyDescent="0.2">
      <c r="A109" s="1" t="s">
        <v>5727</v>
      </c>
      <c r="B109" s="1" t="s">
        <v>5316</v>
      </c>
      <c r="C109" s="1" t="s">
        <v>5637</v>
      </c>
      <c r="D109" s="1" t="s">
        <v>5728</v>
      </c>
      <c r="E109" s="1" t="s">
        <v>52</v>
      </c>
      <c r="F109" s="1" t="s">
        <v>4518</v>
      </c>
      <c r="G109" s="1" t="s">
        <v>4518</v>
      </c>
      <c r="H109" s="1" t="s">
        <v>4518</v>
      </c>
      <c r="I109" s="1" t="s">
        <v>4518</v>
      </c>
      <c r="J109" s="1" t="s">
        <v>4518</v>
      </c>
      <c r="K109" s="1" t="s">
        <v>4518</v>
      </c>
      <c r="L109" s="1" t="s">
        <v>4518</v>
      </c>
      <c r="M109" s="1" t="s">
        <v>4518</v>
      </c>
      <c r="N109" s="1" t="s">
        <v>5568</v>
      </c>
      <c r="O109" s="1" t="s">
        <v>4518</v>
      </c>
      <c r="P109" s="1" t="s">
        <v>4518</v>
      </c>
      <c r="Q109" s="1" t="s">
        <v>4518</v>
      </c>
    </row>
    <row r="110" spans="1:17" x14ac:dyDescent="0.2">
      <c r="A110" s="1" t="s">
        <v>5729</v>
      </c>
      <c r="B110" s="1" t="s">
        <v>5317</v>
      </c>
      <c r="C110" s="1" t="s">
        <v>5637</v>
      </c>
      <c r="D110" s="1" t="s">
        <v>5730</v>
      </c>
      <c r="E110" s="1" t="s">
        <v>52</v>
      </c>
      <c r="F110" s="1" t="s">
        <v>4518</v>
      </c>
      <c r="G110" s="1" t="s">
        <v>4518</v>
      </c>
      <c r="H110" s="1" t="s">
        <v>4518</v>
      </c>
      <c r="I110" s="1" t="s">
        <v>4518</v>
      </c>
      <c r="J110" s="1" t="s">
        <v>4518</v>
      </c>
      <c r="K110" s="1" t="s">
        <v>4518</v>
      </c>
      <c r="L110" s="1" t="s">
        <v>4518</v>
      </c>
      <c r="M110" s="1" t="s">
        <v>4518</v>
      </c>
      <c r="N110" s="1" t="s">
        <v>5568</v>
      </c>
      <c r="O110" s="1" t="s">
        <v>4518</v>
      </c>
      <c r="P110" s="1" t="s">
        <v>4518</v>
      </c>
      <c r="Q110" s="1" t="s">
        <v>4518</v>
      </c>
    </row>
    <row r="111" spans="1:17" x14ac:dyDescent="0.2">
      <c r="A111" s="1" t="s">
        <v>5731</v>
      </c>
      <c r="B111" s="1" t="s">
        <v>5318</v>
      </c>
      <c r="C111" s="1" t="s">
        <v>5637</v>
      </c>
      <c r="E111" s="1" t="s">
        <v>52</v>
      </c>
      <c r="F111" s="1" t="s">
        <v>4518</v>
      </c>
      <c r="G111" s="1" t="s">
        <v>4518</v>
      </c>
      <c r="H111" s="1" t="s">
        <v>4518</v>
      </c>
      <c r="I111" s="1" t="s">
        <v>4518</v>
      </c>
      <c r="J111" s="1" t="s">
        <v>4518</v>
      </c>
      <c r="K111" s="1" t="s">
        <v>4518</v>
      </c>
      <c r="L111" s="1" t="s">
        <v>4518</v>
      </c>
      <c r="M111" s="1" t="s">
        <v>4518</v>
      </c>
      <c r="N111" s="1" t="s">
        <v>5568</v>
      </c>
      <c r="O111" s="1" t="s">
        <v>4518</v>
      </c>
      <c r="P111" s="1" t="s">
        <v>4518</v>
      </c>
      <c r="Q111" s="1" t="s">
        <v>4518</v>
      </c>
    </row>
    <row r="112" spans="1:17" x14ac:dyDescent="0.2">
      <c r="A112" s="1" t="s">
        <v>5732</v>
      </c>
      <c r="B112" s="1" t="s">
        <v>5319</v>
      </c>
      <c r="C112" s="1" t="s">
        <v>5637</v>
      </c>
      <c r="E112" s="1" t="s">
        <v>52</v>
      </c>
      <c r="F112" s="1" t="s">
        <v>4518</v>
      </c>
      <c r="G112" s="1" t="s">
        <v>4518</v>
      </c>
      <c r="H112" s="1" t="s">
        <v>4518</v>
      </c>
      <c r="I112" s="1" t="s">
        <v>4518</v>
      </c>
      <c r="J112" s="1" t="s">
        <v>4518</v>
      </c>
      <c r="K112" s="1" t="s">
        <v>4518</v>
      </c>
      <c r="L112" s="1" t="s">
        <v>4518</v>
      </c>
      <c r="M112" s="1" t="s">
        <v>4518</v>
      </c>
      <c r="N112" s="1" t="s">
        <v>5568</v>
      </c>
      <c r="O112" s="1" t="s">
        <v>4518</v>
      </c>
      <c r="P112" s="1" t="s">
        <v>4518</v>
      </c>
      <c r="Q112" s="1" t="s">
        <v>4518</v>
      </c>
    </row>
    <row r="113" spans="1:17" x14ac:dyDescent="0.2">
      <c r="A113" s="1" t="s">
        <v>7616</v>
      </c>
      <c r="B113" s="1" t="s">
        <v>5319</v>
      </c>
      <c r="C113" s="1" t="s">
        <v>5637</v>
      </c>
      <c r="E113" s="1" t="s">
        <v>52</v>
      </c>
      <c r="F113" s="1" t="s">
        <v>4518</v>
      </c>
      <c r="G113" s="1" t="s">
        <v>4518</v>
      </c>
      <c r="H113" s="1" t="s">
        <v>4518</v>
      </c>
      <c r="I113" s="1" t="s">
        <v>4518</v>
      </c>
      <c r="J113" s="1" t="s">
        <v>4518</v>
      </c>
      <c r="K113" s="1" t="s">
        <v>4518</v>
      </c>
      <c r="L113" s="1" t="s">
        <v>4518</v>
      </c>
      <c r="M113" s="1" t="s">
        <v>4518</v>
      </c>
      <c r="N113" s="1" t="s">
        <v>5568</v>
      </c>
      <c r="O113" s="1" t="s">
        <v>4518</v>
      </c>
      <c r="P113" s="1" t="s">
        <v>4518</v>
      </c>
      <c r="Q113" s="1" t="s">
        <v>4518</v>
      </c>
    </row>
    <row r="114" spans="1:17" x14ac:dyDescent="0.2">
      <c r="A114" s="1" t="s">
        <v>5733</v>
      </c>
      <c r="B114" s="1" t="s">
        <v>5320</v>
      </c>
      <c r="C114" s="1" t="s">
        <v>5637</v>
      </c>
      <c r="E114" s="1" t="s">
        <v>52</v>
      </c>
      <c r="F114" s="1" t="s">
        <v>4518</v>
      </c>
      <c r="G114" s="1" t="s">
        <v>4518</v>
      </c>
      <c r="H114" s="1" t="s">
        <v>4518</v>
      </c>
      <c r="I114" s="1" t="s">
        <v>4518</v>
      </c>
      <c r="J114" s="1" t="s">
        <v>4518</v>
      </c>
      <c r="K114" s="1" t="s">
        <v>4518</v>
      </c>
      <c r="L114" s="1" t="s">
        <v>4518</v>
      </c>
      <c r="M114" s="1" t="s">
        <v>4518</v>
      </c>
      <c r="N114" s="1" t="s">
        <v>5568</v>
      </c>
      <c r="O114" s="1" t="s">
        <v>4518</v>
      </c>
      <c r="P114" s="1" t="s">
        <v>4518</v>
      </c>
      <c r="Q114" s="1" t="s">
        <v>4518</v>
      </c>
    </row>
    <row r="115" spans="1:17" x14ac:dyDescent="0.2">
      <c r="A115" s="1" t="s">
        <v>5734</v>
      </c>
      <c r="B115" s="1" t="s">
        <v>5321</v>
      </c>
      <c r="C115" s="1" t="s">
        <v>5637</v>
      </c>
      <c r="D115" s="1" t="s">
        <v>5735</v>
      </c>
      <c r="E115" s="1" t="s">
        <v>52</v>
      </c>
      <c r="F115" s="1" t="s">
        <v>4518</v>
      </c>
      <c r="G115" s="1" t="s">
        <v>4518</v>
      </c>
      <c r="H115" s="1" t="s">
        <v>4518</v>
      </c>
      <c r="I115" s="1" t="s">
        <v>4518</v>
      </c>
      <c r="J115" s="1" t="s">
        <v>4518</v>
      </c>
      <c r="K115" s="1" t="s">
        <v>4518</v>
      </c>
      <c r="L115" s="1" t="s">
        <v>4518</v>
      </c>
      <c r="M115" s="1" t="s">
        <v>4518</v>
      </c>
      <c r="N115" s="1" t="s">
        <v>5568</v>
      </c>
      <c r="O115" s="1" t="s">
        <v>4518</v>
      </c>
      <c r="P115" s="1" t="s">
        <v>4518</v>
      </c>
      <c r="Q115" s="1" t="s">
        <v>4518</v>
      </c>
    </row>
    <row r="116" spans="1:17" x14ac:dyDescent="0.2">
      <c r="A116" s="1" t="s">
        <v>5736</v>
      </c>
      <c r="B116" s="1" t="s">
        <v>208</v>
      </c>
      <c r="C116" s="1" t="s">
        <v>5637</v>
      </c>
      <c r="D116" s="1" t="s">
        <v>5737</v>
      </c>
      <c r="E116" s="1" t="s">
        <v>52</v>
      </c>
      <c r="F116" s="1" t="s">
        <v>4518</v>
      </c>
      <c r="G116" s="1" t="s">
        <v>4518</v>
      </c>
      <c r="H116" s="1" t="s">
        <v>4518</v>
      </c>
      <c r="I116" s="1" t="s">
        <v>4518</v>
      </c>
      <c r="J116" s="1" t="s">
        <v>4518</v>
      </c>
      <c r="K116" s="1" t="s">
        <v>4518</v>
      </c>
      <c r="L116" s="1" t="s">
        <v>4518</v>
      </c>
      <c r="M116" s="1" t="s">
        <v>4518</v>
      </c>
      <c r="N116" s="1" t="s">
        <v>5568</v>
      </c>
      <c r="O116" s="1" t="s">
        <v>4518</v>
      </c>
      <c r="P116" s="1" t="s">
        <v>4518</v>
      </c>
      <c r="Q116" s="1" t="s">
        <v>4518</v>
      </c>
    </row>
    <row r="117" spans="1:17" x14ac:dyDescent="0.2">
      <c r="A117" s="1" t="s">
        <v>5738</v>
      </c>
      <c r="B117" s="1" t="s">
        <v>5322</v>
      </c>
      <c r="C117" s="1" t="s">
        <v>5637</v>
      </c>
      <c r="E117" s="1" t="s">
        <v>52</v>
      </c>
      <c r="F117" s="1" t="s">
        <v>4518</v>
      </c>
      <c r="G117" s="1" t="s">
        <v>4518</v>
      </c>
      <c r="H117" s="1" t="s">
        <v>4518</v>
      </c>
      <c r="I117" s="1" t="s">
        <v>4518</v>
      </c>
      <c r="J117" s="1" t="s">
        <v>4518</v>
      </c>
      <c r="K117" s="1" t="s">
        <v>4518</v>
      </c>
      <c r="L117" s="1" t="s">
        <v>4518</v>
      </c>
      <c r="M117" s="1" t="s">
        <v>4518</v>
      </c>
      <c r="N117" s="1" t="s">
        <v>5568</v>
      </c>
      <c r="O117" s="1" t="s">
        <v>4518</v>
      </c>
      <c r="P117" s="1" t="s">
        <v>4518</v>
      </c>
      <c r="Q117" s="1" t="s">
        <v>4518</v>
      </c>
    </row>
    <row r="118" spans="1:17" x14ac:dyDescent="0.2">
      <c r="A118" s="1" t="s">
        <v>5739</v>
      </c>
      <c r="B118" s="1" t="s">
        <v>5323</v>
      </c>
      <c r="C118" s="1" t="s">
        <v>5637</v>
      </c>
      <c r="E118" s="1" t="s">
        <v>52</v>
      </c>
      <c r="F118" s="1" t="s">
        <v>4518</v>
      </c>
      <c r="G118" s="1" t="s">
        <v>4518</v>
      </c>
      <c r="H118" s="1" t="s">
        <v>4518</v>
      </c>
      <c r="I118" s="1" t="s">
        <v>4518</v>
      </c>
      <c r="J118" s="1" t="s">
        <v>4518</v>
      </c>
      <c r="K118" s="1" t="s">
        <v>4518</v>
      </c>
      <c r="L118" s="1" t="s">
        <v>4518</v>
      </c>
      <c r="M118" s="1" t="s">
        <v>4518</v>
      </c>
      <c r="N118" s="1" t="s">
        <v>5568</v>
      </c>
      <c r="O118" s="1" t="s">
        <v>4518</v>
      </c>
      <c r="P118" s="1" t="s">
        <v>4518</v>
      </c>
      <c r="Q118" s="1" t="s">
        <v>4518</v>
      </c>
    </row>
    <row r="119" spans="1:17" x14ac:dyDescent="0.2">
      <c r="A119" s="1" t="s">
        <v>5740</v>
      </c>
      <c r="B119" s="1" t="s">
        <v>5325</v>
      </c>
      <c r="C119" s="1" t="s">
        <v>5637</v>
      </c>
      <c r="D119" s="1" t="s">
        <v>5741</v>
      </c>
      <c r="E119" s="1" t="s">
        <v>52</v>
      </c>
      <c r="F119" s="1" t="s">
        <v>4518</v>
      </c>
      <c r="G119" s="1" t="s">
        <v>4518</v>
      </c>
      <c r="H119" s="1" t="s">
        <v>4518</v>
      </c>
      <c r="I119" s="1" t="s">
        <v>4518</v>
      </c>
      <c r="J119" s="1" t="s">
        <v>4518</v>
      </c>
      <c r="K119" s="1" t="s">
        <v>4518</v>
      </c>
      <c r="L119" s="1" t="s">
        <v>4518</v>
      </c>
      <c r="M119" s="1" t="s">
        <v>4518</v>
      </c>
      <c r="N119" s="1" t="s">
        <v>5568</v>
      </c>
      <c r="O119" s="1" t="s">
        <v>4518</v>
      </c>
      <c r="P119" s="1" t="s">
        <v>4518</v>
      </c>
      <c r="Q119" s="1" t="s">
        <v>4518</v>
      </c>
    </row>
    <row r="120" spans="1:17" x14ac:dyDescent="0.2">
      <c r="A120" s="1" t="s">
        <v>7617</v>
      </c>
      <c r="B120" s="1" t="s">
        <v>5324</v>
      </c>
      <c r="C120" s="1" t="s">
        <v>5637</v>
      </c>
      <c r="E120" s="1" t="s">
        <v>52</v>
      </c>
      <c r="F120" s="1" t="s">
        <v>4518</v>
      </c>
      <c r="G120" s="1" t="s">
        <v>4518</v>
      </c>
      <c r="H120" s="1" t="s">
        <v>4518</v>
      </c>
      <c r="I120" s="1" t="s">
        <v>4518</v>
      </c>
      <c r="J120" s="1" t="s">
        <v>4518</v>
      </c>
      <c r="K120" s="1" t="s">
        <v>4518</v>
      </c>
      <c r="L120" s="1" t="s">
        <v>4518</v>
      </c>
      <c r="M120" s="1" t="s">
        <v>4518</v>
      </c>
      <c r="N120" s="1" t="s">
        <v>5568</v>
      </c>
      <c r="O120" s="1" t="s">
        <v>4518</v>
      </c>
      <c r="P120" s="1" t="s">
        <v>4518</v>
      </c>
      <c r="Q120" s="1" t="s">
        <v>4518</v>
      </c>
    </row>
    <row r="121" spans="1:17" x14ac:dyDescent="0.2">
      <c r="A121" s="1" t="s">
        <v>5742</v>
      </c>
      <c r="B121" s="1" t="s">
        <v>5326</v>
      </c>
      <c r="C121" s="1" t="s">
        <v>5637</v>
      </c>
      <c r="D121" s="1" t="s">
        <v>5743</v>
      </c>
      <c r="E121" s="1" t="s">
        <v>52</v>
      </c>
      <c r="F121" s="1" t="s">
        <v>4518</v>
      </c>
      <c r="G121" s="1" t="s">
        <v>4518</v>
      </c>
      <c r="H121" s="1" t="s">
        <v>4518</v>
      </c>
      <c r="I121" s="1" t="s">
        <v>4518</v>
      </c>
      <c r="J121" s="1" t="s">
        <v>4518</v>
      </c>
      <c r="K121" s="1" t="s">
        <v>4518</v>
      </c>
      <c r="L121" s="1" t="s">
        <v>4518</v>
      </c>
      <c r="M121" s="1" t="s">
        <v>4518</v>
      </c>
      <c r="N121" s="1" t="s">
        <v>5568</v>
      </c>
      <c r="O121" s="1" t="s">
        <v>4518</v>
      </c>
      <c r="P121" s="1" t="s">
        <v>4518</v>
      </c>
      <c r="Q121" s="1" t="s">
        <v>4518</v>
      </c>
    </row>
    <row r="122" spans="1:17" x14ac:dyDescent="0.2">
      <c r="A122" s="1" t="s">
        <v>5744</v>
      </c>
      <c r="B122" s="1" t="s">
        <v>5327</v>
      </c>
      <c r="C122" s="1" t="s">
        <v>5637</v>
      </c>
      <c r="E122" s="1" t="s">
        <v>52</v>
      </c>
      <c r="F122" s="1" t="s">
        <v>4518</v>
      </c>
      <c r="G122" s="1" t="s">
        <v>4518</v>
      </c>
      <c r="H122" s="1" t="s">
        <v>4518</v>
      </c>
      <c r="I122" s="1" t="s">
        <v>4518</v>
      </c>
      <c r="J122" s="1" t="s">
        <v>4518</v>
      </c>
      <c r="K122" s="1" t="s">
        <v>4518</v>
      </c>
      <c r="L122" s="1" t="s">
        <v>4518</v>
      </c>
      <c r="M122" s="1" t="s">
        <v>4518</v>
      </c>
      <c r="N122" s="1" t="s">
        <v>5568</v>
      </c>
      <c r="O122" s="1" t="s">
        <v>4518</v>
      </c>
      <c r="P122" s="1" t="s">
        <v>4518</v>
      </c>
      <c r="Q122" s="1" t="s">
        <v>4518</v>
      </c>
    </row>
    <row r="123" spans="1:17" x14ac:dyDescent="0.2">
      <c r="A123" s="1" t="s">
        <v>5745</v>
      </c>
      <c r="B123" s="1" t="s">
        <v>5328</v>
      </c>
      <c r="C123" s="1" t="s">
        <v>5637</v>
      </c>
      <c r="D123" s="1" t="s">
        <v>5746</v>
      </c>
      <c r="E123" s="1" t="s">
        <v>52</v>
      </c>
      <c r="F123" s="1" t="s">
        <v>4518</v>
      </c>
      <c r="G123" s="1" t="s">
        <v>4518</v>
      </c>
      <c r="H123" s="1" t="s">
        <v>4518</v>
      </c>
      <c r="I123" s="1" t="s">
        <v>4518</v>
      </c>
      <c r="J123" s="1" t="s">
        <v>4518</v>
      </c>
      <c r="K123" s="1" t="s">
        <v>4518</v>
      </c>
      <c r="L123" s="1" t="s">
        <v>4518</v>
      </c>
      <c r="M123" s="1" t="s">
        <v>4518</v>
      </c>
      <c r="N123" s="1" t="s">
        <v>5568</v>
      </c>
      <c r="O123" s="1" t="s">
        <v>4518</v>
      </c>
      <c r="P123" s="1" t="s">
        <v>4518</v>
      </c>
      <c r="Q123" s="1" t="s">
        <v>4518</v>
      </c>
    </row>
    <row r="124" spans="1:17" x14ac:dyDescent="0.2">
      <c r="A124" s="1" t="s">
        <v>5747</v>
      </c>
      <c r="B124" s="1" t="s">
        <v>5329</v>
      </c>
      <c r="C124" s="1" t="s">
        <v>5637</v>
      </c>
      <c r="E124" s="1" t="s">
        <v>52</v>
      </c>
      <c r="F124" s="1" t="s">
        <v>4518</v>
      </c>
      <c r="G124" s="1" t="s">
        <v>4518</v>
      </c>
      <c r="H124" s="1" t="s">
        <v>4518</v>
      </c>
      <c r="I124" s="1" t="s">
        <v>4518</v>
      </c>
      <c r="J124" s="1" t="s">
        <v>4518</v>
      </c>
      <c r="K124" s="1" t="s">
        <v>4518</v>
      </c>
      <c r="L124" s="1" t="s">
        <v>4518</v>
      </c>
      <c r="M124" s="1" t="s">
        <v>4518</v>
      </c>
      <c r="N124" s="1" t="s">
        <v>5568</v>
      </c>
      <c r="O124" s="1" t="s">
        <v>4518</v>
      </c>
      <c r="P124" s="1" t="s">
        <v>4518</v>
      </c>
      <c r="Q124" s="1" t="s">
        <v>4518</v>
      </c>
    </row>
    <row r="125" spans="1:17" x14ac:dyDescent="0.2">
      <c r="A125" s="1" t="s">
        <v>5748</v>
      </c>
      <c r="B125" s="1" t="s">
        <v>209</v>
      </c>
      <c r="C125" s="1" t="s">
        <v>5637</v>
      </c>
      <c r="D125" s="1" t="s">
        <v>5749</v>
      </c>
      <c r="E125" s="1" t="s">
        <v>52</v>
      </c>
      <c r="F125" s="1" t="s">
        <v>4518</v>
      </c>
      <c r="G125" s="1" t="s">
        <v>4518</v>
      </c>
      <c r="H125" s="1" t="s">
        <v>4518</v>
      </c>
      <c r="I125" s="1" t="s">
        <v>4518</v>
      </c>
      <c r="J125" s="1" t="s">
        <v>4518</v>
      </c>
      <c r="K125" s="1" t="s">
        <v>4518</v>
      </c>
      <c r="L125" s="1" t="s">
        <v>4518</v>
      </c>
      <c r="M125" s="1" t="s">
        <v>4518</v>
      </c>
      <c r="N125" s="1" t="s">
        <v>5568</v>
      </c>
      <c r="O125" s="1" t="s">
        <v>4518</v>
      </c>
      <c r="P125" s="1" t="s">
        <v>4518</v>
      </c>
      <c r="Q125" s="1" t="s">
        <v>4518</v>
      </c>
    </row>
    <row r="126" spans="1:17" x14ac:dyDescent="0.2">
      <c r="A126" s="1" t="s">
        <v>5750</v>
      </c>
      <c r="B126" s="1" t="s">
        <v>5330</v>
      </c>
      <c r="C126" s="1" t="s">
        <v>5637</v>
      </c>
      <c r="E126" s="1" t="s">
        <v>52</v>
      </c>
      <c r="F126" s="1" t="s">
        <v>4518</v>
      </c>
      <c r="G126" s="1" t="s">
        <v>4518</v>
      </c>
      <c r="H126" s="1" t="s">
        <v>4518</v>
      </c>
      <c r="I126" s="1" t="s">
        <v>4518</v>
      </c>
      <c r="J126" s="1" t="s">
        <v>4518</v>
      </c>
      <c r="K126" s="1" t="s">
        <v>4518</v>
      </c>
      <c r="L126" s="1" t="s">
        <v>4518</v>
      </c>
      <c r="M126" s="1" t="s">
        <v>4518</v>
      </c>
      <c r="N126" s="1" t="s">
        <v>5568</v>
      </c>
      <c r="O126" s="1" t="s">
        <v>4518</v>
      </c>
      <c r="P126" s="1" t="s">
        <v>4518</v>
      </c>
      <c r="Q126" s="1" t="s">
        <v>4518</v>
      </c>
    </row>
    <row r="127" spans="1:17" x14ac:dyDescent="0.2">
      <c r="A127" s="1" t="s">
        <v>5751</v>
      </c>
      <c r="B127" s="1" t="s">
        <v>5331</v>
      </c>
      <c r="C127" s="1" t="s">
        <v>5637</v>
      </c>
      <c r="D127" s="1" t="s">
        <v>5752</v>
      </c>
      <c r="E127" s="1" t="s">
        <v>52</v>
      </c>
      <c r="F127" s="1" t="s">
        <v>4518</v>
      </c>
      <c r="G127" s="1" t="s">
        <v>4518</v>
      </c>
      <c r="H127" s="1" t="s">
        <v>4518</v>
      </c>
      <c r="I127" s="1" t="s">
        <v>4518</v>
      </c>
      <c r="J127" s="1" t="s">
        <v>4518</v>
      </c>
      <c r="K127" s="1" t="s">
        <v>4518</v>
      </c>
      <c r="L127" s="1" t="s">
        <v>4518</v>
      </c>
      <c r="M127" s="1" t="s">
        <v>4518</v>
      </c>
      <c r="N127" s="1" t="s">
        <v>5568</v>
      </c>
      <c r="O127" s="1" t="s">
        <v>4518</v>
      </c>
      <c r="P127" s="1" t="s">
        <v>4518</v>
      </c>
      <c r="Q127" s="1" t="s">
        <v>4518</v>
      </c>
    </row>
    <row r="128" spans="1:17" x14ac:dyDescent="0.2">
      <c r="A128" s="1" t="s">
        <v>5753</v>
      </c>
      <c r="B128" s="1" t="s">
        <v>5332</v>
      </c>
      <c r="C128" s="1" t="s">
        <v>5637</v>
      </c>
      <c r="E128" s="1" t="s">
        <v>52</v>
      </c>
      <c r="F128" s="1" t="s">
        <v>4518</v>
      </c>
      <c r="G128" s="1" t="s">
        <v>4518</v>
      </c>
      <c r="H128" s="1" t="s">
        <v>4518</v>
      </c>
      <c r="I128" s="1" t="s">
        <v>4518</v>
      </c>
      <c r="J128" s="1" t="s">
        <v>4518</v>
      </c>
      <c r="K128" s="1" t="s">
        <v>4518</v>
      </c>
      <c r="L128" s="1" t="s">
        <v>4518</v>
      </c>
      <c r="M128" s="1" t="s">
        <v>4518</v>
      </c>
      <c r="N128" s="1" t="s">
        <v>5568</v>
      </c>
      <c r="O128" s="1" t="s">
        <v>4518</v>
      </c>
      <c r="P128" s="1" t="s">
        <v>4518</v>
      </c>
      <c r="Q128" s="1" t="s">
        <v>4518</v>
      </c>
    </row>
    <row r="129" spans="1:17" x14ac:dyDescent="0.2">
      <c r="A129" s="1" t="s">
        <v>5754</v>
      </c>
      <c r="B129" s="1" t="s">
        <v>210</v>
      </c>
      <c r="C129" s="1" t="s">
        <v>5637</v>
      </c>
      <c r="D129" s="1" t="s">
        <v>5755</v>
      </c>
      <c r="E129" s="1" t="s">
        <v>52</v>
      </c>
      <c r="F129" s="1" t="s">
        <v>4518</v>
      </c>
      <c r="G129" s="1" t="s">
        <v>4518</v>
      </c>
      <c r="H129" s="1" t="s">
        <v>4518</v>
      </c>
      <c r="I129" s="1" t="s">
        <v>4518</v>
      </c>
      <c r="J129" s="1" t="s">
        <v>4518</v>
      </c>
      <c r="K129" s="1" t="s">
        <v>4518</v>
      </c>
      <c r="L129" s="1" t="s">
        <v>4518</v>
      </c>
      <c r="M129" s="1" t="s">
        <v>4518</v>
      </c>
      <c r="N129" s="1" t="s">
        <v>5568</v>
      </c>
      <c r="O129" s="1" t="s">
        <v>4518</v>
      </c>
      <c r="P129" s="1" t="s">
        <v>4518</v>
      </c>
      <c r="Q129" s="1" t="s">
        <v>4518</v>
      </c>
    </row>
    <row r="130" spans="1:17" x14ac:dyDescent="0.2">
      <c r="A130" s="1" t="s">
        <v>5756</v>
      </c>
      <c r="B130" s="1" t="s">
        <v>5333</v>
      </c>
      <c r="C130" s="1" t="s">
        <v>5637</v>
      </c>
      <c r="E130" s="1" t="s">
        <v>52</v>
      </c>
      <c r="F130" s="1" t="s">
        <v>4518</v>
      </c>
      <c r="G130" s="1" t="s">
        <v>4518</v>
      </c>
      <c r="H130" s="1" t="s">
        <v>4518</v>
      </c>
      <c r="I130" s="1" t="s">
        <v>4518</v>
      </c>
      <c r="J130" s="1" t="s">
        <v>4518</v>
      </c>
      <c r="K130" s="1" t="s">
        <v>4518</v>
      </c>
      <c r="L130" s="1" t="s">
        <v>4518</v>
      </c>
      <c r="M130" s="1" t="s">
        <v>4518</v>
      </c>
      <c r="N130" s="1" t="s">
        <v>5568</v>
      </c>
      <c r="O130" s="1" t="s">
        <v>4518</v>
      </c>
      <c r="P130" s="1" t="s">
        <v>4518</v>
      </c>
      <c r="Q130" s="1" t="s">
        <v>4518</v>
      </c>
    </row>
    <row r="131" spans="1:17" x14ac:dyDescent="0.2">
      <c r="A131" s="1" t="s">
        <v>5757</v>
      </c>
      <c r="B131" s="1" t="s">
        <v>211</v>
      </c>
      <c r="C131" s="1" t="s">
        <v>5637</v>
      </c>
      <c r="D131" s="1" t="s">
        <v>5758</v>
      </c>
      <c r="E131" s="1" t="s">
        <v>52</v>
      </c>
      <c r="F131" s="1" t="s">
        <v>4518</v>
      </c>
      <c r="G131" s="1" t="s">
        <v>4518</v>
      </c>
      <c r="H131" s="1" t="s">
        <v>4518</v>
      </c>
      <c r="I131" s="1" t="s">
        <v>4518</v>
      </c>
      <c r="J131" s="1" t="s">
        <v>4518</v>
      </c>
      <c r="K131" s="1" t="s">
        <v>4518</v>
      </c>
      <c r="L131" s="1" t="s">
        <v>4518</v>
      </c>
      <c r="M131" s="1" t="s">
        <v>4518</v>
      </c>
      <c r="N131" s="1" t="s">
        <v>5568</v>
      </c>
      <c r="O131" s="1" t="s">
        <v>4518</v>
      </c>
      <c r="P131" s="1" t="s">
        <v>4518</v>
      </c>
      <c r="Q131" s="1" t="s">
        <v>4518</v>
      </c>
    </row>
    <row r="132" spans="1:17" x14ac:dyDescent="0.2">
      <c r="A132" s="1" t="s">
        <v>5759</v>
      </c>
      <c r="B132" s="1" t="s">
        <v>5334</v>
      </c>
      <c r="C132" s="1" t="s">
        <v>5637</v>
      </c>
      <c r="D132" s="1" t="s">
        <v>5760</v>
      </c>
      <c r="E132" s="1" t="s">
        <v>52</v>
      </c>
      <c r="F132" s="1" t="s">
        <v>4518</v>
      </c>
      <c r="G132" s="1" t="s">
        <v>4518</v>
      </c>
      <c r="H132" s="1" t="s">
        <v>4518</v>
      </c>
      <c r="I132" s="1" t="s">
        <v>4518</v>
      </c>
      <c r="J132" s="1" t="s">
        <v>4518</v>
      </c>
      <c r="K132" s="1" t="s">
        <v>4518</v>
      </c>
      <c r="L132" s="1" t="s">
        <v>4518</v>
      </c>
      <c r="M132" s="1" t="s">
        <v>4518</v>
      </c>
      <c r="N132" s="1" t="s">
        <v>5568</v>
      </c>
      <c r="O132" s="1" t="s">
        <v>4518</v>
      </c>
      <c r="P132" s="1" t="s">
        <v>4518</v>
      </c>
      <c r="Q132" s="1" t="s">
        <v>4518</v>
      </c>
    </row>
    <row r="133" spans="1:17" x14ac:dyDescent="0.2">
      <c r="A133" s="1" t="s">
        <v>5761</v>
      </c>
      <c r="B133" s="1" t="s">
        <v>5335</v>
      </c>
      <c r="C133" s="1" t="s">
        <v>5637</v>
      </c>
      <c r="E133" s="1" t="s">
        <v>52</v>
      </c>
      <c r="F133" s="1" t="s">
        <v>4518</v>
      </c>
      <c r="G133" s="1" t="s">
        <v>4518</v>
      </c>
      <c r="H133" s="1" t="s">
        <v>4518</v>
      </c>
      <c r="I133" s="1" t="s">
        <v>4518</v>
      </c>
      <c r="J133" s="1" t="s">
        <v>4518</v>
      </c>
      <c r="K133" s="1" t="s">
        <v>4518</v>
      </c>
      <c r="L133" s="1" t="s">
        <v>4518</v>
      </c>
      <c r="M133" s="1" t="s">
        <v>4518</v>
      </c>
      <c r="N133" s="1" t="s">
        <v>5568</v>
      </c>
      <c r="O133" s="1" t="s">
        <v>4518</v>
      </c>
      <c r="P133" s="1" t="s">
        <v>4518</v>
      </c>
      <c r="Q133" s="1" t="s">
        <v>4518</v>
      </c>
    </row>
    <row r="134" spans="1:17" x14ac:dyDescent="0.2">
      <c r="A134" s="1" t="s">
        <v>5762</v>
      </c>
      <c r="B134" s="1" t="s">
        <v>5336</v>
      </c>
      <c r="C134" s="1" t="s">
        <v>5637</v>
      </c>
      <c r="D134" s="1" t="s">
        <v>5763</v>
      </c>
      <c r="E134" s="1" t="s">
        <v>52</v>
      </c>
      <c r="F134" s="1" t="s">
        <v>4518</v>
      </c>
      <c r="G134" s="1" t="s">
        <v>4518</v>
      </c>
      <c r="H134" s="1" t="s">
        <v>4518</v>
      </c>
      <c r="I134" s="1" t="s">
        <v>4518</v>
      </c>
      <c r="J134" s="1" t="s">
        <v>4518</v>
      </c>
      <c r="K134" s="1" t="s">
        <v>4518</v>
      </c>
      <c r="L134" s="1" t="s">
        <v>4518</v>
      </c>
      <c r="M134" s="1" t="s">
        <v>4518</v>
      </c>
      <c r="N134" s="1" t="s">
        <v>5568</v>
      </c>
      <c r="O134" s="1" t="s">
        <v>4518</v>
      </c>
      <c r="P134" s="1" t="s">
        <v>4518</v>
      </c>
      <c r="Q134" s="1" t="s">
        <v>4518</v>
      </c>
    </row>
    <row r="135" spans="1:17" x14ac:dyDescent="0.2">
      <c r="A135" s="1" t="s">
        <v>5764</v>
      </c>
      <c r="B135" s="1" t="s">
        <v>212</v>
      </c>
      <c r="C135" s="1" t="s">
        <v>5637</v>
      </c>
      <c r="D135" s="1" t="s">
        <v>5765</v>
      </c>
      <c r="E135" s="1" t="s">
        <v>52</v>
      </c>
      <c r="F135" s="1" t="s">
        <v>4518</v>
      </c>
      <c r="G135" s="1" t="s">
        <v>4518</v>
      </c>
      <c r="H135" s="1" t="s">
        <v>4518</v>
      </c>
      <c r="I135" s="1" t="s">
        <v>4518</v>
      </c>
      <c r="J135" s="1" t="s">
        <v>4518</v>
      </c>
      <c r="K135" s="1" t="s">
        <v>4518</v>
      </c>
      <c r="L135" s="1" t="s">
        <v>4518</v>
      </c>
      <c r="M135" s="1" t="s">
        <v>4518</v>
      </c>
      <c r="N135" s="1" t="s">
        <v>5568</v>
      </c>
      <c r="O135" s="1" t="s">
        <v>4518</v>
      </c>
      <c r="P135" s="1" t="s">
        <v>4518</v>
      </c>
      <c r="Q135" s="1" t="s">
        <v>4518</v>
      </c>
    </row>
    <row r="136" spans="1:17" x14ac:dyDescent="0.2">
      <c r="A136" s="1" t="s">
        <v>5766</v>
      </c>
      <c r="B136" s="1" t="s">
        <v>5767</v>
      </c>
      <c r="C136" s="1" t="s">
        <v>5637</v>
      </c>
      <c r="E136" s="1" t="s">
        <v>52</v>
      </c>
      <c r="F136" s="1" t="s">
        <v>4518</v>
      </c>
      <c r="G136" s="1" t="s">
        <v>4518</v>
      </c>
      <c r="H136" s="1" t="s">
        <v>4518</v>
      </c>
      <c r="I136" s="1" t="s">
        <v>4518</v>
      </c>
      <c r="J136" s="1" t="s">
        <v>4518</v>
      </c>
      <c r="K136" s="1" t="s">
        <v>4518</v>
      </c>
      <c r="L136" s="1" t="s">
        <v>4518</v>
      </c>
      <c r="M136" s="1" t="s">
        <v>4518</v>
      </c>
      <c r="N136" s="1" t="s">
        <v>5568</v>
      </c>
      <c r="O136" s="1" t="s">
        <v>4518</v>
      </c>
      <c r="P136" s="1" t="s">
        <v>4518</v>
      </c>
      <c r="Q136" s="1" t="s">
        <v>4518</v>
      </c>
    </row>
    <row r="137" spans="1:17" x14ac:dyDescent="0.2">
      <c r="A137" s="1" t="s">
        <v>5768</v>
      </c>
      <c r="B137" s="1" t="s">
        <v>5337</v>
      </c>
      <c r="C137" s="1" t="s">
        <v>5637</v>
      </c>
      <c r="D137" s="1" t="s">
        <v>5769</v>
      </c>
      <c r="E137" s="1" t="s">
        <v>52</v>
      </c>
      <c r="F137" s="1" t="s">
        <v>4518</v>
      </c>
      <c r="G137" s="1" t="s">
        <v>4518</v>
      </c>
      <c r="H137" s="1" t="s">
        <v>4518</v>
      </c>
      <c r="I137" s="1" t="s">
        <v>4518</v>
      </c>
      <c r="J137" s="1" t="s">
        <v>4518</v>
      </c>
      <c r="K137" s="1" t="s">
        <v>4518</v>
      </c>
      <c r="L137" s="1" t="s">
        <v>4518</v>
      </c>
      <c r="M137" s="1" t="s">
        <v>4518</v>
      </c>
      <c r="N137" s="1" t="s">
        <v>5568</v>
      </c>
      <c r="O137" s="1" t="s">
        <v>4518</v>
      </c>
      <c r="P137" s="1" t="s">
        <v>4518</v>
      </c>
      <c r="Q137" s="1" t="s">
        <v>4518</v>
      </c>
    </row>
    <row r="138" spans="1:17" x14ac:dyDescent="0.2">
      <c r="A138" s="1" t="s">
        <v>5770</v>
      </c>
      <c r="B138" s="1" t="s">
        <v>5339</v>
      </c>
      <c r="C138" s="1" t="s">
        <v>5637</v>
      </c>
      <c r="D138" s="1" t="s">
        <v>5771</v>
      </c>
      <c r="E138" s="1" t="s">
        <v>52</v>
      </c>
      <c r="F138" s="1" t="s">
        <v>4518</v>
      </c>
      <c r="G138" s="1" t="s">
        <v>4518</v>
      </c>
      <c r="H138" s="1" t="s">
        <v>4518</v>
      </c>
      <c r="I138" s="1" t="s">
        <v>4518</v>
      </c>
      <c r="J138" s="1" t="s">
        <v>4518</v>
      </c>
      <c r="K138" s="1" t="s">
        <v>4518</v>
      </c>
      <c r="L138" s="1" t="s">
        <v>4518</v>
      </c>
      <c r="M138" s="1" t="s">
        <v>4518</v>
      </c>
      <c r="N138" s="1" t="s">
        <v>5568</v>
      </c>
      <c r="O138" s="1" t="s">
        <v>4518</v>
      </c>
      <c r="P138" s="1" t="s">
        <v>4518</v>
      </c>
      <c r="Q138" s="1" t="s">
        <v>4518</v>
      </c>
    </row>
    <row r="139" spans="1:17" x14ac:dyDescent="0.2">
      <c r="A139" s="1" t="s">
        <v>5772</v>
      </c>
      <c r="B139" s="1" t="s">
        <v>5340</v>
      </c>
      <c r="C139" s="1" t="s">
        <v>5637</v>
      </c>
      <c r="E139" s="1" t="s">
        <v>52</v>
      </c>
      <c r="F139" s="1" t="s">
        <v>4518</v>
      </c>
      <c r="G139" s="1" t="s">
        <v>4518</v>
      </c>
      <c r="H139" s="1" t="s">
        <v>4518</v>
      </c>
      <c r="I139" s="1" t="s">
        <v>4518</v>
      </c>
      <c r="J139" s="1" t="s">
        <v>4518</v>
      </c>
      <c r="K139" s="1" t="s">
        <v>4518</v>
      </c>
      <c r="L139" s="1" t="s">
        <v>4518</v>
      </c>
      <c r="M139" s="1" t="s">
        <v>4518</v>
      </c>
      <c r="N139" s="1" t="s">
        <v>5568</v>
      </c>
      <c r="O139" s="1" t="s">
        <v>4518</v>
      </c>
      <c r="P139" s="1" t="s">
        <v>4518</v>
      </c>
      <c r="Q139" s="1" t="s">
        <v>4518</v>
      </c>
    </row>
    <row r="140" spans="1:17" x14ac:dyDescent="0.2">
      <c r="A140" s="1" t="s">
        <v>5773</v>
      </c>
      <c r="B140" s="1" t="s">
        <v>5341</v>
      </c>
      <c r="C140" s="1" t="s">
        <v>5637</v>
      </c>
      <c r="E140" s="1" t="s">
        <v>52</v>
      </c>
      <c r="F140" s="1" t="s">
        <v>4518</v>
      </c>
      <c r="G140" s="1" t="s">
        <v>4518</v>
      </c>
      <c r="H140" s="1" t="s">
        <v>4518</v>
      </c>
      <c r="I140" s="1" t="s">
        <v>4518</v>
      </c>
      <c r="J140" s="1" t="s">
        <v>4518</v>
      </c>
      <c r="K140" s="1" t="s">
        <v>4518</v>
      </c>
      <c r="L140" s="1" t="s">
        <v>4518</v>
      </c>
      <c r="M140" s="1" t="s">
        <v>4518</v>
      </c>
      <c r="N140" s="1" t="s">
        <v>5568</v>
      </c>
      <c r="O140" s="1" t="s">
        <v>4518</v>
      </c>
      <c r="P140" s="1" t="s">
        <v>4518</v>
      </c>
      <c r="Q140" s="1" t="s">
        <v>4518</v>
      </c>
    </row>
    <row r="141" spans="1:17" x14ac:dyDescent="0.2">
      <c r="A141" s="1" t="s">
        <v>5774</v>
      </c>
      <c r="B141" s="1" t="s">
        <v>5342</v>
      </c>
      <c r="C141" s="1" t="s">
        <v>5637</v>
      </c>
      <c r="D141" s="1" t="s">
        <v>5775</v>
      </c>
      <c r="E141" s="1" t="s">
        <v>52</v>
      </c>
      <c r="F141" s="1" t="s">
        <v>4518</v>
      </c>
      <c r="G141" s="1" t="s">
        <v>4518</v>
      </c>
      <c r="H141" s="1" t="s">
        <v>4518</v>
      </c>
      <c r="I141" s="1" t="s">
        <v>4518</v>
      </c>
      <c r="J141" s="1" t="s">
        <v>4518</v>
      </c>
      <c r="K141" s="1" t="s">
        <v>4518</v>
      </c>
      <c r="L141" s="1" t="s">
        <v>4518</v>
      </c>
      <c r="M141" s="1" t="s">
        <v>4518</v>
      </c>
      <c r="N141" s="1" t="s">
        <v>5568</v>
      </c>
      <c r="O141" s="1" t="s">
        <v>4518</v>
      </c>
      <c r="P141" s="1" t="s">
        <v>4518</v>
      </c>
      <c r="Q141" s="1" t="s">
        <v>4518</v>
      </c>
    </row>
    <row r="142" spans="1:17" x14ac:dyDescent="0.2">
      <c r="A142" s="1" t="s">
        <v>5776</v>
      </c>
      <c r="B142" s="1" t="s">
        <v>5343</v>
      </c>
      <c r="C142" s="1" t="s">
        <v>5637</v>
      </c>
      <c r="E142" s="1" t="s">
        <v>52</v>
      </c>
      <c r="F142" s="1" t="s">
        <v>4518</v>
      </c>
      <c r="G142" s="1" t="s">
        <v>4518</v>
      </c>
      <c r="H142" s="1" t="s">
        <v>4518</v>
      </c>
      <c r="I142" s="1" t="s">
        <v>4518</v>
      </c>
      <c r="J142" s="1" t="s">
        <v>4518</v>
      </c>
      <c r="K142" s="1" t="s">
        <v>4518</v>
      </c>
      <c r="L142" s="1" t="s">
        <v>4518</v>
      </c>
      <c r="M142" s="1" t="s">
        <v>4518</v>
      </c>
      <c r="N142" s="1" t="s">
        <v>5568</v>
      </c>
      <c r="O142" s="1" t="s">
        <v>4518</v>
      </c>
      <c r="P142" s="1" t="s">
        <v>4518</v>
      </c>
      <c r="Q142" s="1" t="s">
        <v>4518</v>
      </c>
    </row>
    <row r="143" spans="1:17" x14ac:dyDescent="0.2">
      <c r="A143" s="1" t="s">
        <v>5777</v>
      </c>
      <c r="B143" s="1" t="s">
        <v>213</v>
      </c>
      <c r="C143" s="1" t="s">
        <v>5637</v>
      </c>
      <c r="D143" s="1" t="s">
        <v>5778</v>
      </c>
      <c r="E143" s="1" t="s">
        <v>52</v>
      </c>
      <c r="F143" s="1" t="s">
        <v>4518</v>
      </c>
      <c r="G143" s="1" t="s">
        <v>4518</v>
      </c>
      <c r="H143" s="1" t="s">
        <v>4518</v>
      </c>
      <c r="I143" s="1" t="s">
        <v>4518</v>
      </c>
      <c r="J143" s="1" t="s">
        <v>4518</v>
      </c>
      <c r="K143" s="1" t="s">
        <v>4518</v>
      </c>
      <c r="L143" s="1" t="s">
        <v>4518</v>
      </c>
      <c r="M143" s="1" t="s">
        <v>4518</v>
      </c>
      <c r="N143" s="1" t="s">
        <v>5568</v>
      </c>
      <c r="O143" s="1" t="s">
        <v>4518</v>
      </c>
      <c r="P143" s="1" t="s">
        <v>4518</v>
      </c>
      <c r="Q143" s="1" t="s">
        <v>4518</v>
      </c>
    </row>
    <row r="144" spans="1:17" x14ac:dyDescent="0.2">
      <c r="A144" s="1" t="s">
        <v>5779</v>
      </c>
      <c r="B144" s="1" t="s">
        <v>5344</v>
      </c>
      <c r="C144" s="1" t="s">
        <v>5637</v>
      </c>
      <c r="E144" s="1" t="s">
        <v>52</v>
      </c>
      <c r="F144" s="1" t="s">
        <v>4518</v>
      </c>
      <c r="G144" s="1" t="s">
        <v>4518</v>
      </c>
      <c r="H144" s="1" t="s">
        <v>4518</v>
      </c>
      <c r="I144" s="1" t="s">
        <v>4518</v>
      </c>
      <c r="J144" s="1" t="s">
        <v>4518</v>
      </c>
      <c r="K144" s="1" t="s">
        <v>4518</v>
      </c>
      <c r="L144" s="1" t="s">
        <v>4518</v>
      </c>
      <c r="M144" s="1" t="s">
        <v>4518</v>
      </c>
      <c r="N144" s="1" t="s">
        <v>5568</v>
      </c>
      <c r="O144" s="1" t="s">
        <v>4518</v>
      </c>
      <c r="P144" s="1" t="s">
        <v>4518</v>
      </c>
      <c r="Q144" s="1" t="s">
        <v>4518</v>
      </c>
    </row>
    <row r="145" spans="1:17" x14ac:dyDescent="0.2">
      <c r="A145" s="1" t="s">
        <v>5780</v>
      </c>
      <c r="B145" s="1" t="s">
        <v>5345</v>
      </c>
      <c r="C145" s="1" t="s">
        <v>5637</v>
      </c>
      <c r="D145" s="1" t="s">
        <v>5781</v>
      </c>
      <c r="E145" s="1" t="s">
        <v>52</v>
      </c>
      <c r="F145" s="1" t="s">
        <v>4518</v>
      </c>
      <c r="G145" s="1" t="s">
        <v>4518</v>
      </c>
      <c r="H145" s="1" t="s">
        <v>4518</v>
      </c>
      <c r="I145" s="1" t="s">
        <v>4518</v>
      </c>
      <c r="J145" s="1" t="s">
        <v>4518</v>
      </c>
      <c r="K145" s="1" t="s">
        <v>4518</v>
      </c>
      <c r="L145" s="1" t="s">
        <v>4518</v>
      </c>
      <c r="M145" s="1" t="s">
        <v>4518</v>
      </c>
      <c r="N145" s="1" t="s">
        <v>5568</v>
      </c>
      <c r="O145" s="1" t="s">
        <v>4518</v>
      </c>
      <c r="P145" s="1" t="s">
        <v>4518</v>
      </c>
      <c r="Q145" s="1" t="s">
        <v>4518</v>
      </c>
    </row>
    <row r="146" spans="1:17" x14ac:dyDescent="0.2">
      <c r="A146" s="1" t="s">
        <v>5782</v>
      </c>
      <c r="B146" s="1" t="s">
        <v>5346</v>
      </c>
      <c r="C146" s="1" t="s">
        <v>5637</v>
      </c>
      <c r="E146" s="1" t="s">
        <v>52</v>
      </c>
      <c r="F146" s="1" t="s">
        <v>4518</v>
      </c>
      <c r="G146" s="1" t="s">
        <v>4518</v>
      </c>
      <c r="H146" s="1" t="s">
        <v>4518</v>
      </c>
      <c r="I146" s="1" t="s">
        <v>4518</v>
      </c>
      <c r="J146" s="1" t="s">
        <v>4518</v>
      </c>
      <c r="K146" s="1" t="s">
        <v>4518</v>
      </c>
      <c r="L146" s="1" t="s">
        <v>4518</v>
      </c>
      <c r="M146" s="1" t="s">
        <v>4518</v>
      </c>
      <c r="N146" s="1" t="s">
        <v>5568</v>
      </c>
      <c r="O146" s="1" t="s">
        <v>4518</v>
      </c>
      <c r="P146" s="1" t="s">
        <v>4518</v>
      </c>
      <c r="Q146" s="1" t="s">
        <v>4518</v>
      </c>
    </row>
    <row r="147" spans="1:17" x14ac:dyDescent="0.2">
      <c r="A147" s="1" t="s">
        <v>5783</v>
      </c>
      <c r="B147" s="1" t="s">
        <v>214</v>
      </c>
      <c r="C147" s="1" t="s">
        <v>5637</v>
      </c>
      <c r="D147" s="1" t="s">
        <v>5784</v>
      </c>
      <c r="E147" s="1" t="s">
        <v>52</v>
      </c>
      <c r="F147" s="1" t="s">
        <v>4518</v>
      </c>
      <c r="G147" s="1" t="s">
        <v>4518</v>
      </c>
      <c r="H147" s="1" t="s">
        <v>4518</v>
      </c>
      <c r="I147" s="1" t="s">
        <v>4518</v>
      </c>
      <c r="J147" s="1" t="s">
        <v>4518</v>
      </c>
      <c r="K147" s="1" t="s">
        <v>4518</v>
      </c>
      <c r="L147" s="1" t="s">
        <v>4518</v>
      </c>
      <c r="M147" s="1" t="s">
        <v>4518</v>
      </c>
      <c r="N147" s="1" t="s">
        <v>5568</v>
      </c>
      <c r="O147" s="1" t="s">
        <v>4518</v>
      </c>
      <c r="P147" s="1" t="s">
        <v>4518</v>
      </c>
      <c r="Q147" s="1" t="s">
        <v>4518</v>
      </c>
    </row>
    <row r="148" spans="1:17" x14ac:dyDescent="0.2">
      <c r="A148" s="1" t="s">
        <v>5785</v>
      </c>
      <c r="B148" s="1" t="s">
        <v>5347</v>
      </c>
      <c r="C148" s="1" t="s">
        <v>5637</v>
      </c>
      <c r="E148" s="1" t="s">
        <v>52</v>
      </c>
      <c r="F148" s="1" t="s">
        <v>4518</v>
      </c>
      <c r="G148" s="1" t="s">
        <v>4518</v>
      </c>
      <c r="H148" s="1" t="s">
        <v>4518</v>
      </c>
      <c r="I148" s="1" t="s">
        <v>4518</v>
      </c>
      <c r="J148" s="1" t="s">
        <v>4518</v>
      </c>
      <c r="K148" s="1" t="s">
        <v>4518</v>
      </c>
      <c r="L148" s="1" t="s">
        <v>4518</v>
      </c>
      <c r="M148" s="1" t="s">
        <v>4518</v>
      </c>
      <c r="N148" s="1" t="s">
        <v>5568</v>
      </c>
      <c r="O148" s="1" t="s">
        <v>4518</v>
      </c>
      <c r="P148" s="1" t="s">
        <v>4518</v>
      </c>
      <c r="Q148" s="1" t="s">
        <v>4518</v>
      </c>
    </row>
    <row r="149" spans="1:17" x14ac:dyDescent="0.2">
      <c r="A149" s="1" t="s">
        <v>5786</v>
      </c>
      <c r="B149" s="1" t="s">
        <v>5348</v>
      </c>
      <c r="C149" s="1" t="s">
        <v>5637</v>
      </c>
      <c r="E149" s="1" t="s">
        <v>52</v>
      </c>
      <c r="F149" s="1" t="s">
        <v>4518</v>
      </c>
      <c r="G149" s="1" t="s">
        <v>4518</v>
      </c>
      <c r="H149" s="1" t="s">
        <v>4518</v>
      </c>
      <c r="I149" s="1" t="s">
        <v>4518</v>
      </c>
      <c r="J149" s="1" t="s">
        <v>4518</v>
      </c>
      <c r="K149" s="1" t="s">
        <v>4518</v>
      </c>
      <c r="L149" s="1" t="s">
        <v>4518</v>
      </c>
      <c r="M149" s="1" t="s">
        <v>4518</v>
      </c>
      <c r="N149" s="1" t="s">
        <v>5568</v>
      </c>
      <c r="O149" s="1" t="s">
        <v>4518</v>
      </c>
      <c r="P149" s="1" t="s">
        <v>4518</v>
      </c>
      <c r="Q149" s="1" t="s">
        <v>4518</v>
      </c>
    </row>
    <row r="150" spans="1:17" x14ac:dyDescent="0.2">
      <c r="A150" s="1" t="s">
        <v>5787</v>
      </c>
      <c r="B150" s="1" t="s">
        <v>215</v>
      </c>
      <c r="C150" s="1" t="s">
        <v>5637</v>
      </c>
      <c r="D150" s="1" t="s">
        <v>5788</v>
      </c>
      <c r="E150" s="1" t="s">
        <v>52</v>
      </c>
      <c r="F150" s="1" t="s">
        <v>4518</v>
      </c>
      <c r="G150" s="1" t="s">
        <v>4518</v>
      </c>
      <c r="H150" s="1" t="s">
        <v>4518</v>
      </c>
      <c r="I150" s="1" t="s">
        <v>4518</v>
      </c>
      <c r="J150" s="1" t="s">
        <v>4518</v>
      </c>
      <c r="K150" s="1" t="s">
        <v>4518</v>
      </c>
      <c r="L150" s="1" t="s">
        <v>4518</v>
      </c>
      <c r="M150" s="1" t="s">
        <v>4518</v>
      </c>
      <c r="N150" s="1" t="s">
        <v>5568</v>
      </c>
      <c r="O150" s="1" t="s">
        <v>4518</v>
      </c>
      <c r="P150" s="1" t="s">
        <v>4518</v>
      </c>
      <c r="Q150" s="1" t="s">
        <v>4518</v>
      </c>
    </row>
    <row r="151" spans="1:17" x14ac:dyDescent="0.2">
      <c r="A151" s="1" t="s">
        <v>5789</v>
      </c>
      <c r="B151" s="1" t="s">
        <v>5349</v>
      </c>
      <c r="C151" s="1" t="s">
        <v>5637</v>
      </c>
      <c r="D151" s="1" t="s">
        <v>5790</v>
      </c>
      <c r="E151" s="1" t="s">
        <v>52</v>
      </c>
      <c r="F151" s="1" t="s">
        <v>4518</v>
      </c>
      <c r="G151" s="1" t="s">
        <v>4518</v>
      </c>
      <c r="H151" s="1" t="s">
        <v>4518</v>
      </c>
      <c r="I151" s="1" t="s">
        <v>4518</v>
      </c>
      <c r="J151" s="1" t="s">
        <v>4518</v>
      </c>
      <c r="K151" s="1" t="s">
        <v>4518</v>
      </c>
      <c r="L151" s="1" t="s">
        <v>4518</v>
      </c>
      <c r="M151" s="1" t="s">
        <v>4518</v>
      </c>
      <c r="N151" s="1" t="s">
        <v>5568</v>
      </c>
      <c r="O151" s="1" t="s">
        <v>4518</v>
      </c>
      <c r="P151" s="1" t="s">
        <v>4518</v>
      </c>
      <c r="Q151" s="1" t="s">
        <v>4518</v>
      </c>
    </row>
    <row r="152" spans="1:17" x14ac:dyDescent="0.2">
      <c r="A152" s="1" t="s">
        <v>5791</v>
      </c>
      <c r="B152" s="1" t="s">
        <v>5350</v>
      </c>
      <c r="C152" s="1" t="s">
        <v>5637</v>
      </c>
      <c r="D152" s="1" t="s">
        <v>5792</v>
      </c>
      <c r="E152" s="1" t="s">
        <v>52</v>
      </c>
      <c r="F152" s="1" t="s">
        <v>4518</v>
      </c>
      <c r="G152" s="1" t="s">
        <v>4518</v>
      </c>
      <c r="H152" s="1" t="s">
        <v>4518</v>
      </c>
      <c r="I152" s="1" t="s">
        <v>4518</v>
      </c>
      <c r="J152" s="1" t="s">
        <v>4518</v>
      </c>
      <c r="K152" s="1" t="s">
        <v>4518</v>
      </c>
      <c r="L152" s="1" t="s">
        <v>4518</v>
      </c>
      <c r="M152" s="1" t="s">
        <v>4518</v>
      </c>
      <c r="N152" s="1" t="s">
        <v>5568</v>
      </c>
      <c r="O152" s="1" t="s">
        <v>4518</v>
      </c>
      <c r="P152" s="1" t="s">
        <v>4518</v>
      </c>
      <c r="Q152" s="1" t="s">
        <v>4518</v>
      </c>
    </row>
    <row r="153" spans="1:17" x14ac:dyDescent="0.2">
      <c r="A153" s="1" t="s">
        <v>5793</v>
      </c>
      <c r="B153" s="1" t="s">
        <v>5351</v>
      </c>
      <c r="C153" s="1" t="s">
        <v>5637</v>
      </c>
      <c r="D153" s="1" t="s">
        <v>5794</v>
      </c>
      <c r="E153" s="1" t="s">
        <v>52</v>
      </c>
      <c r="F153" s="1" t="s">
        <v>4518</v>
      </c>
      <c r="G153" s="1" t="s">
        <v>4518</v>
      </c>
      <c r="H153" s="1" t="s">
        <v>4518</v>
      </c>
      <c r="I153" s="1" t="s">
        <v>4518</v>
      </c>
      <c r="J153" s="1" t="s">
        <v>4518</v>
      </c>
      <c r="K153" s="1" t="s">
        <v>4518</v>
      </c>
      <c r="L153" s="1" t="s">
        <v>4518</v>
      </c>
      <c r="M153" s="1" t="s">
        <v>4518</v>
      </c>
      <c r="N153" s="1" t="s">
        <v>5568</v>
      </c>
      <c r="O153" s="1" t="s">
        <v>4518</v>
      </c>
      <c r="P153" s="1" t="s">
        <v>4518</v>
      </c>
      <c r="Q153" s="1" t="s">
        <v>4518</v>
      </c>
    </row>
    <row r="154" spans="1:17" x14ac:dyDescent="0.2">
      <c r="A154" s="1" t="s">
        <v>5795</v>
      </c>
      <c r="B154" s="1" t="s">
        <v>5352</v>
      </c>
      <c r="C154" s="1" t="s">
        <v>5637</v>
      </c>
      <c r="D154" s="1" t="s">
        <v>5796</v>
      </c>
      <c r="E154" s="1" t="s">
        <v>52</v>
      </c>
      <c r="F154" s="1" t="s">
        <v>4518</v>
      </c>
      <c r="G154" s="1" t="s">
        <v>4518</v>
      </c>
      <c r="H154" s="1" t="s">
        <v>4518</v>
      </c>
      <c r="I154" s="1" t="s">
        <v>4518</v>
      </c>
      <c r="J154" s="1" t="s">
        <v>4518</v>
      </c>
      <c r="K154" s="1" t="s">
        <v>4518</v>
      </c>
      <c r="L154" s="1" t="s">
        <v>4518</v>
      </c>
      <c r="M154" s="1" t="s">
        <v>4518</v>
      </c>
      <c r="N154" s="1" t="s">
        <v>5568</v>
      </c>
      <c r="O154" s="1" t="s">
        <v>4518</v>
      </c>
      <c r="P154" s="1" t="s">
        <v>4518</v>
      </c>
      <c r="Q154" s="1" t="s">
        <v>4518</v>
      </c>
    </row>
    <row r="155" spans="1:17" x14ac:dyDescent="0.2">
      <c r="A155" s="1" t="s">
        <v>5797</v>
      </c>
      <c r="B155" s="1" t="s">
        <v>5353</v>
      </c>
      <c r="C155" s="1" t="s">
        <v>5637</v>
      </c>
      <c r="E155" s="1" t="s">
        <v>52</v>
      </c>
      <c r="F155" s="1" t="s">
        <v>4518</v>
      </c>
      <c r="G155" s="1" t="s">
        <v>4518</v>
      </c>
      <c r="H155" s="1" t="s">
        <v>4518</v>
      </c>
      <c r="I155" s="1" t="s">
        <v>4518</v>
      </c>
      <c r="J155" s="1" t="s">
        <v>4518</v>
      </c>
      <c r="K155" s="1" t="s">
        <v>4518</v>
      </c>
      <c r="L155" s="1" t="s">
        <v>4518</v>
      </c>
      <c r="M155" s="1" t="s">
        <v>4518</v>
      </c>
      <c r="N155" s="1" t="s">
        <v>5568</v>
      </c>
      <c r="O155" s="1" t="s">
        <v>4518</v>
      </c>
      <c r="P155" s="1" t="s">
        <v>4518</v>
      </c>
      <c r="Q155" s="1" t="s">
        <v>4518</v>
      </c>
    </row>
    <row r="156" spans="1:17" x14ac:dyDescent="0.2">
      <c r="A156" s="1" t="s">
        <v>5798</v>
      </c>
      <c r="B156" s="1" t="s">
        <v>5354</v>
      </c>
      <c r="C156" s="1" t="s">
        <v>5637</v>
      </c>
      <c r="E156" s="1" t="s">
        <v>52</v>
      </c>
      <c r="F156" s="1" t="s">
        <v>4518</v>
      </c>
      <c r="G156" s="1" t="s">
        <v>4518</v>
      </c>
      <c r="H156" s="1" t="s">
        <v>4518</v>
      </c>
      <c r="I156" s="1" t="s">
        <v>4518</v>
      </c>
      <c r="J156" s="1" t="s">
        <v>4518</v>
      </c>
      <c r="K156" s="1" t="s">
        <v>4518</v>
      </c>
      <c r="L156" s="1" t="s">
        <v>4518</v>
      </c>
      <c r="M156" s="1" t="s">
        <v>4518</v>
      </c>
      <c r="N156" s="1" t="s">
        <v>5568</v>
      </c>
      <c r="O156" s="1" t="s">
        <v>4518</v>
      </c>
      <c r="P156" s="1" t="s">
        <v>4518</v>
      </c>
      <c r="Q156" s="1" t="s">
        <v>4518</v>
      </c>
    </row>
    <row r="157" spans="1:17" x14ac:dyDescent="0.2">
      <c r="A157" s="1" t="s">
        <v>5799</v>
      </c>
      <c r="B157" s="1" t="s">
        <v>5355</v>
      </c>
      <c r="C157" s="1" t="s">
        <v>5637</v>
      </c>
      <c r="D157" s="1" t="s">
        <v>5800</v>
      </c>
      <c r="E157" s="1" t="s">
        <v>52</v>
      </c>
      <c r="F157" s="1" t="s">
        <v>4518</v>
      </c>
      <c r="G157" s="1" t="s">
        <v>4518</v>
      </c>
      <c r="H157" s="1" t="s">
        <v>4518</v>
      </c>
      <c r="I157" s="1" t="s">
        <v>4518</v>
      </c>
      <c r="J157" s="1" t="s">
        <v>4518</v>
      </c>
      <c r="K157" s="1" t="s">
        <v>4518</v>
      </c>
      <c r="L157" s="1" t="s">
        <v>4518</v>
      </c>
      <c r="M157" s="1" t="s">
        <v>4518</v>
      </c>
      <c r="N157" s="1" t="s">
        <v>5568</v>
      </c>
      <c r="O157" s="1" t="s">
        <v>4518</v>
      </c>
      <c r="P157" s="1" t="s">
        <v>4518</v>
      </c>
      <c r="Q157" s="1" t="s">
        <v>4518</v>
      </c>
    </row>
    <row r="158" spans="1:17" x14ac:dyDescent="0.2">
      <c r="A158" s="1" t="s">
        <v>5801</v>
      </c>
      <c r="B158" s="1" t="s">
        <v>5356</v>
      </c>
      <c r="C158" s="1" t="s">
        <v>5637</v>
      </c>
      <c r="E158" s="1" t="s">
        <v>52</v>
      </c>
      <c r="F158" s="1" t="s">
        <v>4518</v>
      </c>
      <c r="G158" s="1" t="s">
        <v>4518</v>
      </c>
      <c r="H158" s="1" t="s">
        <v>4518</v>
      </c>
      <c r="I158" s="1" t="s">
        <v>4518</v>
      </c>
      <c r="J158" s="1" t="s">
        <v>4518</v>
      </c>
      <c r="K158" s="1" t="s">
        <v>4518</v>
      </c>
      <c r="L158" s="1" t="s">
        <v>4518</v>
      </c>
      <c r="M158" s="1" t="s">
        <v>4518</v>
      </c>
      <c r="N158" s="1" t="s">
        <v>5568</v>
      </c>
      <c r="O158" s="1" t="s">
        <v>4518</v>
      </c>
      <c r="P158" s="1" t="s">
        <v>4518</v>
      </c>
      <c r="Q158" s="1" t="s">
        <v>4518</v>
      </c>
    </row>
    <row r="159" spans="1:17" x14ac:dyDescent="0.2">
      <c r="A159" s="1" t="s">
        <v>5802</v>
      </c>
      <c r="B159" s="1" t="s">
        <v>5357</v>
      </c>
      <c r="C159" s="1" t="s">
        <v>5637</v>
      </c>
      <c r="D159" s="1" t="s">
        <v>5803</v>
      </c>
      <c r="E159" s="1" t="s">
        <v>52</v>
      </c>
      <c r="F159" s="1" t="s">
        <v>4518</v>
      </c>
      <c r="G159" s="1" t="s">
        <v>4518</v>
      </c>
      <c r="H159" s="1" t="s">
        <v>4518</v>
      </c>
      <c r="I159" s="1" t="s">
        <v>4518</v>
      </c>
      <c r="J159" s="1" t="s">
        <v>4518</v>
      </c>
      <c r="K159" s="1" t="s">
        <v>4518</v>
      </c>
      <c r="L159" s="1" t="s">
        <v>4518</v>
      </c>
      <c r="M159" s="1" t="s">
        <v>4518</v>
      </c>
      <c r="N159" s="1" t="s">
        <v>5568</v>
      </c>
      <c r="O159" s="1" t="s">
        <v>4518</v>
      </c>
      <c r="P159" s="1" t="s">
        <v>4518</v>
      </c>
      <c r="Q159" s="1" t="s">
        <v>4518</v>
      </c>
    </row>
    <row r="160" spans="1:17" x14ac:dyDescent="0.2">
      <c r="A160" s="1" t="s">
        <v>5804</v>
      </c>
      <c r="B160" s="1" t="s">
        <v>216</v>
      </c>
      <c r="C160" s="1" t="s">
        <v>5637</v>
      </c>
      <c r="D160" s="1" t="s">
        <v>5805</v>
      </c>
      <c r="E160" s="1" t="s">
        <v>52</v>
      </c>
      <c r="F160" s="1" t="s">
        <v>4518</v>
      </c>
      <c r="G160" s="1" t="s">
        <v>4518</v>
      </c>
      <c r="H160" s="1" t="s">
        <v>4518</v>
      </c>
      <c r="I160" s="1" t="s">
        <v>4518</v>
      </c>
      <c r="J160" s="1" t="s">
        <v>4518</v>
      </c>
      <c r="K160" s="1" t="s">
        <v>4518</v>
      </c>
      <c r="L160" s="1" t="s">
        <v>4518</v>
      </c>
      <c r="M160" s="1" t="s">
        <v>4518</v>
      </c>
      <c r="N160" s="1" t="s">
        <v>5568</v>
      </c>
      <c r="O160" s="1" t="s">
        <v>4518</v>
      </c>
      <c r="P160" s="1" t="s">
        <v>4518</v>
      </c>
      <c r="Q160" s="1" t="s">
        <v>4518</v>
      </c>
    </row>
    <row r="161" spans="1:17" x14ac:dyDescent="0.2">
      <c r="A161" s="1" t="s">
        <v>5806</v>
      </c>
      <c r="B161" s="1" t="s">
        <v>5358</v>
      </c>
      <c r="C161" s="1" t="s">
        <v>5637</v>
      </c>
      <c r="D161" s="1" t="s">
        <v>5807</v>
      </c>
      <c r="E161" s="1" t="s">
        <v>52</v>
      </c>
      <c r="F161" s="1" t="s">
        <v>4518</v>
      </c>
      <c r="G161" s="1" t="s">
        <v>4518</v>
      </c>
      <c r="H161" s="1" t="s">
        <v>4518</v>
      </c>
      <c r="I161" s="1" t="s">
        <v>4518</v>
      </c>
      <c r="J161" s="1" t="s">
        <v>4518</v>
      </c>
      <c r="K161" s="1" t="s">
        <v>4518</v>
      </c>
      <c r="L161" s="1" t="s">
        <v>4518</v>
      </c>
      <c r="M161" s="1" t="s">
        <v>4518</v>
      </c>
      <c r="N161" s="1" t="s">
        <v>5568</v>
      </c>
      <c r="O161" s="1" t="s">
        <v>4518</v>
      </c>
      <c r="P161" s="1" t="s">
        <v>4518</v>
      </c>
      <c r="Q161" s="1" t="s">
        <v>4518</v>
      </c>
    </row>
    <row r="162" spans="1:17" x14ac:dyDescent="0.2">
      <c r="A162" s="1" t="s">
        <v>5808</v>
      </c>
      <c r="B162" s="1" t="s">
        <v>5359</v>
      </c>
      <c r="C162" s="1" t="s">
        <v>5637</v>
      </c>
      <c r="D162" s="1" t="s">
        <v>5809</v>
      </c>
      <c r="E162" s="1" t="s">
        <v>52</v>
      </c>
      <c r="F162" s="1" t="s">
        <v>4518</v>
      </c>
      <c r="G162" s="1" t="s">
        <v>4518</v>
      </c>
      <c r="H162" s="1" t="s">
        <v>4518</v>
      </c>
      <c r="I162" s="1" t="s">
        <v>4518</v>
      </c>
      <c r="J162" s="1" t="s">
        <v>4518</v>
      </c>
      <c r="K162" s="1" t="s">
        <v>4518</v>
      </c>
      <c r="L162" s="1" t="s">
        <v>4518</v>
      </c>
      <c r="M162" s="1" t="s">
        <v>4518</v>
      </c>
      <c r="N162" s="1" t="s">
        <v>5568</v>
      </c>
      <c r="O162" s="1" t="s">
        <v>4518</v>
      </c>
      <c r="P162" s="1" t="s">
        <v>4518</v>
      </c>
      <c r="Q162" s="1" t="s">
        <v>4518</v>
      </c>
    </row>
    <row r="163" spans="1:17" x14ac:dyDescent="0.2">
      <c r="A163" s="1" t="s">
        <v>5810</v>
      </c>
      <c r="B163" s="1" t="s">
        <v>5360</v>
      </c>
      <c r="C163" s="1" t="s">
        <v>5637</v>
      </c>
      <c r="D163" s="1" t="s">
        <v>5811</v>
      </c>
      <c r="E163" s="1" t="s">
        <v>52</v>
      </c>
      <c r="F163" s="1" t="s">
        <v>4518</v>
      </c>
      <c r="G163" s="1" t="s">
        <v>4518</v>
      </c>
      <c r="H163" s="1" t="s">
        <v>4518</v>
      </c>
      <c r="I163" s="1" t="s">
        <v>4518</v>
      </c>
      <c r="J163" s="1" t="s">
        <v>4518</v>
      </c>
      <c r="K163" s="1" t="s">
        <v>4518</v>
      </c>
      <c r="L163" s="1" t="s">
        <v>4518</v>
      </c>
      <c r="M163" s="1" t="s">
        <v>4518</v>
      </c>
      <c r="N163" s="1" t="s">
        <v>5568</v>
      </c>
      <c r="O163" s="1" t="s">
        <v>4518</v>
      </c>
      <c r="P163" s="1" t="s">
        <v>4518</v>
      </c>
      <c r="Q163" s="1" t="s">
        <v>4518</v>
      </c>
    </row>
    <row r="164" spans="1:17" x14ac:dyDescent="0.2">
      <c r="A164" s="1" t="s">
        <v>5812</v>
      </c>
      <c r="B164" s="1" t="s">
        <v>5361</v>
      </c>
      <c r="C164" s="1" t="s">
        <v>5637</v>
      </c>
      <c r="D164" s="1" t="s">
        <v>5813</v>
      </c>
      <c r="E164" s="1" t="s">
        <v>52</v>
      </c>
      <c r="F164" s="1" t="s">
        <v>4518</v>
      </c>
      <c r="G164" s="1" t="s">
        <v>4518</v>
      </c>
      <c r="H164" s="1" t="s">
        <v>4518</v>
      </c>
      <c r="I164" s="1" t="s">
        <v>4518</v>
      </c>
      <c r="J164" s="1" t="s">
        <v>4518</v>
      </c>
      <c r="K164" s="1" t="s">
        <v>4518</v>
      </c>
      <c r="L164" s="1" t="s">
        <v>4518</v>
      </c>
      <c r="M164" s="1" t="s">
        <v>4518</v>
      </c>
      <c r="N164" s="1" t="s">
        <v>5568</v>
      </c>
      <c r="O164" s="1" t="s">
        <v>4518</v>
      </c>
      <c r="P164" s="1" t="s">
        <v>4518</v>
      </c>
      <c r="Q164" s="1" t="s">
        <v>4518</v>
      </c>
    </row>
    <row r="165" spans="1:17" x14ac:dyDescent="0.2">
      <c r="A165" s="1" t="s">
        <v>5814</v>
      </c>
      <c r="B165" s="1" t="s">
        <v>5362</v>
      </c>
      <c r="C165" s="1" t="s">
        <v>5637</v>
      </c>
      <c r="E165" s="1" t="s">
        <v>52</v>
      </c>
      <c r="F165" s="1" t="s">
        <v>4518</v>
      </c>
      <c r="G165" s="1" t="s">
        <v>4518</v>
      </c>
      <c r="H165" s="1" t="s">
        <v>4518</v>
      </c>
      <c r="I165" s="1" t="s">
        <v>4518</v>
      </c>
      <c r="J165" s="1" t="s">
        <v>4518</v>
      </c>
      <c r="K165" s="1" t="s">
        <v>4518</v>
      </c>
      <c r="L165" s="1" t="s">
        <v>4518</v>
      </c>
      <c r="M165" s="1" t="s">
        <v>4518</v>
      </c>
      <c r="N165" s="1" t="s">
        <v>5568</v>
      </c>
      <c r="O165" s="1" t="s">
        <v>4518</v>
      </c>
      <c r="P165" s="1" t="s">
        <v>4518</v>
      </c>
      <c r="Q165" s="1" t="s">
        <v>4518</v>
      </c>
    </row>
    <row r="166" spans="1:17" x14ac:dyDescent="0.2">
      <c r="A166" s="1" t="s">
        <v>5815</v>
      </c>
      <c r="B166" s="1" t="s">
        <v>5363</v>
      </c>
      <c r="C166" s="1" t="s">
        <v>5637</v>
      </c>
      <c r="E166" s="1" t="s">
        <v>52</v>
      </c>
      <c r="F166" s="1" t="s">
        <v>4518</v>
      </c>
      <c r="G166" s="1" t="s">
        <v>4518</v>
      </c>
      <c r="H166" s="1" t="s">
        <v>4518</v>
      </c>
      <c r="I166" s="1" t="s">
        <v>4518</v>
      </c>
      <c r="J166" s="1" t="s">
        <v>4518</v>
      </c>
      <c r="K166" s="1" t="s">
        <v>4518</v>
      </c>
      <c r="L166" s="1" t="s">
        <v>4518</v>
      </c>
      <c r="M166" s="1" t="s">
        <v>4518</v>
      </c>
      <c r="N166" s="1" t="s">
        <v>5568</v>
      </c>
      <c r="O166" s="1" t="s">
        <v>4518</v>
      </c>
      <c r="P166" s="1" t="s">
        <v>4518</v>
      </c>
      <c r="Q166" s="1" t="s">
        <v>4518</v>
      </c>
    </row>
    <row r="167" spans="1:17" x14ac:dyDescent="0.2">
      <c r="A167" s="1" t="s">
        <v>5816</v>
      </c>
      <c r="B167" s="1" t="s">
        <v>5364</v>
      </c>
      <c r="C167" s="1" t="s">
        <v>5637</v>
      </c>
      <c r="D167" s="1" t="s">
        <v>5817</v>
      </c>
      <c r="E167" s="1" t="s">
        <v>52</v>
      </c>
      <c r="F167" s="1" t="s">
        <v>4518</v>
      </c>
      <c r="G167" s="1" t="s">
        <v>4518</v>
      </c>
      <c r="H167" s="1" t="s">
        <v>4518</v>
      </c>
      <c r="I167" s="1" t="s">
        <v>4518</v>
      </c>
      <c r="J167" s="1" t="s">
        <v>4518</v>
      </c>
      <c r="K167" s="1" t="s">
        <v>4518</v>
      </c>
      <c r="L167" s="1" t="s">
        <v>4518</v>
      </c>
      <c r="M167" s="1" t="s">
        <v>4518</v>
      </c>
      <c r="N167" s="1" t="s">
        <v>5568</v>
      </c>
      <c r="O167" s="1" t="s">
        <v>4518</v>
      </c>
      <c r="P167" s="1" t="s">
        <v>4518</v>
      </c>
      <c r="Q167" s="1" t="s">
        <v>4518</v>
      </c>
    </row>
    <row r="168" spans="1:17" x14ac:dyDescent="0.2">
      <c r="A168" s="1" t="s">
        <v>5818</v>
      </c>
      <c r="B168" s="1" t="s">
        <v>5365</v>
      </c>
      <c r="C168" s="1" t="s">
        <v>5637</v>
      </c>
      <c r="E168" s="1" t="s">
        <v>52</v>
      </c>
      <c r="F168" s="1" t="s">
        <v>4518</v>
      </c>
      <c r="G168" s="1" t="s">
        <v>4518</v>
      </c>
      <c r="H168" s="1" t="s">
        <v>4518</v>
      </c>
      <c r="I168" s="1" t="s">
        <v>4518</v>
      </c>
      <c r="J168" s="1" t="s">
        <v>4518</v>
      </c>
      <c r="K168" s="1" t="s">
        <v>4518</v>
      </c>
      <c r="L168" s="1" t="s">
        <v>4518</v>
      </c>
      <c r="M168" s="1" t="s">
        <v>4518</v>
      </c>
      <c r="N168" s="1" t="s">
        <v>5568</v>
      </c>
      <c r="O168" s="1" t="s">
        <v>4518</v>
      </c>
      <c r="P168" s="1" t="s">
        <v>4518</v>
      </c>
      <c r="Q168" s="1" t="s">
        <v>4518</v>
      </c>
    </row>
    <row r="169" spans="1:17" x14ac:dyDescent="0.2">
      <c r="A169" s="1" t="s">
        <v>5819</v>
      </c>
      <c r="B169" s="1" t="s">
        <v>5366</v>
      </c>
      <c r="C169" s="1" t="s">
        <v>5637</v>
      </c>
      <c r="D169" s="1" t="s">
        <v>5820</v>
      </c>
      <c r="E169" s="1" t="s">
        <v>52</v>
      </c>
      <c r="F169" s="1" t="s">
        <v>4518</v>
      </c>
      <c r="G169" s="1" t="s">
        <v>4518</v>
      </c>
      <c r="H169" s="1" t="s">
        <v>4518</v>
      </c>
      <c r="I169" s="1" t="s">
        <v>4518</v>
      </c>
      <c r="J169" s="1" t="s">
        <v>4518</v>
      </c>
      <c r="K169" s="1" t="s">
        <v>4518</v>
      </c>
      <c r="L169" s="1" t="s">
        <v>4518</v>
      </c>
      <c r="M169" s="1" t="s">
        <v>4518</v>
      </c>
      <c r="N169" s="1" t="s">
        <v>5568</v>
      </c>
      <c r="O169" s="1" t="s">
        <v>4518</v>
      </c>
      <c r="P169" s="1" t="s">
        <v>4518</v>
      </c>
      <c r="Q169" s="1" t="s">
        <v>4518</v>
      </c>
    </row>
    <row r="170" spans="1:17" x14ac:dyDescent="0.2">
      <c r="A170" s="1" t="s">
        <v>5821</v>
      </c>
      <c r="B170" s="1" t="s">
        <v>5367</v>
      </c>
      <c r="C170" s="1" t="s">
        <v>5637</v>
      </c>
      <c r="D170" s="1" t="s">
        <v>5822</v>
      </c>
      <c r="E170" s="1" t="s">
        <v>52</v>
      </c>
      <c r="F170" s="1" t="s">
        <v>4518</v>
      </c>
      <c r="G170" s="1" t="s">
        <v>4518</v>
      </c>
      <c r="H170" s="1" t="s">
        <v>4518</v>
      </c>
      <c r="I170" s="1" t="s">
        <v>4518</v>
      </c>
      <c r="J170" s="1" t="s">
        <v>4518</v>
      </c>
      <c r="K170" s="1" t="s">
        <v>4518</v>
      </c>
      <c r="L170" s="1" t="s">
        <v>4518</v>
      </c>
      <c r="M170" s="1" t="s">
        <v>4518</v>
      </c>
      <c r="N170" s="1" t="s">
        <v>5568</v>
      </c>
      <c r="O170" s="1" t="s">
        <v>4518</v>
      </c>
      <c r="P170" s="1" t="s">
        <v>4518</v>
      </c>
      <c r="Q170" s="1" t="s">
        <v>4518</v>
      </c>
    </row>
    <row r="171" spans="1:17" x14ac:dyDescent="0.2">
      <c r="A171" s="1" t="s">
        <v>5823</v>
      </c>
      <c r="B171" s="1" t="s">
        <v>5368</v>
      </c>
      <c r="C171" s="1" t="s">
        <v>5637</v>
      </c>
      <c r="D171" s="1" t="s">
        <v>5824</v>
      </c>
      <c r="E171" s="1" t="s">
        <v>52</v>
      </c>
      <c r="F171" s="1" t="s">
        <v>4518</v>
      </c>
      <c r="G171" s="1" t="s">
        <v>4518</v>
      </c>
      <c r="H171" s="1" t="s">
        <v>4518</v>
      </c>
      <c r="I171" s="1" t="s">
        <v>4518</v>
      </c>
      <c r="J171" s="1" t="s">
        <v>4518</v>
      </c>
      <c r="K171" s="1" t="s">
        <v>4518</v>
      </c>
      <c r="L171" s="1" t="s">
        <v>4518</v>
      </c>
      <c r="M171" s="1" t="s">
        <v>4518</v>
      </c>
      <c r="N171" s="1" t="s">
        <v>5568</v>
      </c>
      <c r="O171" s="1" t="s">
        <v>4518</v>
      </c>
      <c r="P171" s="1" t="s">
        <v>4518</v>
      </c>
      <c r="Q171" s="1" t="s">
        <v>4518</v>
      </c>
    </row>
    <row r="172" spans="1:17" x14ac:dyDescent="0.2">
      <c r="A172" s="1" t="s">
        <v>5825</v>
      </c>
      <c r="B172" s="1" t="s">
        <v>5369</v>
      </c>
      <c r="C172" s="1" t="s">
        <v>5637</v>
      </c>
      <c r="E172" s="1" t="s">
        <v>52</v>
      </c>
      <c r="F172" s="1" t="s">
        <v>4518</v>
      </c>
      <c r="G172" s="1" t="s">
        <v>4518</v>
      </c>
      <c r="H172" s="1" t="s">
        <v>4518</v>
      </c>
      <c r="I172" s="1" t="s">
        <v>4518</v>
      </c>
      <c r="J172" s="1" t="s">
        <v>4518</v>
      </c>
      <c r="K172" s="1" t="s">
        <v>4518</v>
      </c>
      <c r="L172" s="1" t="s">
        <v>4518</v>
      </c>
      <c r="M172" s="1" t="s">
        <v>4518</v>
      </c>
      <c r="N172" s="1" t="s">
        <v>5568</v>
      </c>
      <c r="O172" s="1" t="s">
        <v>4518</v>
      </c>
      <c r="P172" s="1" t="s">
        <v>4518</v>
      </c>
      <c r="Q172" s="1" t="s">
        <v>4518</v>
      </c>
    </row>
    <row r="173" spans="1:17" x14ac:dyDescent="0.2">
      <c r="A173" s="1" t="s">
        <v>5826</v>
      </c>
      <c r="B173" s="1" t="s">
        <v>5370</v>
      </c>
      <c r="C173" s="1" t="s">
        <v>5637</v>
      </c>
      <c r="D173" s="1" t="s">
        <v>5827</v>
      </c>
      <c r="E173" s="1" t="s">
        <v>52</v>
      </c>
      <c r="F173" s="1" t="s">
        <v>4518</v>
      </c>
      <c r="G173" s="1" t="s">
        <v>4518</v>
      </c>
      <c r="H173" s="1" t="s">
        <v>4518</v>
      </c>
      <c r="I173" s="1" t="s">
        <v>4518</v>
      </c>
      <c r="J173" s="1" t="s">
        <v>4518</v>
      </c>
      <c r="K173" s="1" t="s">
        <v>4518</v>
      </c>
      <c r="L173" s="1" t="s">
        <v>4518</v>
      </c>
      <c r="M173" s="1" t="s">
        <v>4518</v>
      </c>
      <c r="N173" s="1" t="s">
        <v>5568</v>
      </c>
      <c r="O173" s="1" t="s">
        <v>4518</v>
      </c>
      <c r="P173" s="1" t="s">
        <v>4518</v>
      </c>
      <c r="Q173" s="1" t="s">
        <v>4518</v>
      </c>
    </row>
    <row r="174" spans="1:17" x14ac:dyDescent="0.2">
      <c r="A174" s="1" t="s">
        <v>5828</v>
      </c>
      <c r="B174" s="1" t="s">
        <v>5371</v>
      </c>
      <c r="C174" s="1" t="s">
        <v>5637</v>
      </c>
      <c r="E174" s="1" t="s">
        <v>52</v>
      </c>
      <c r="F174" s="1" t="s">
        <v>4518</v>
      </c>
      <c r="G174" s="1" t="s">
        <v>4518</v>
      </c>
      <c r="H174" s="1" t="s">
        <v>4518</v>
      </c>
      <c r="I174" s="1" t="s">
        <v>4518</v>
      </c>
      <c r="J174" s="1" t="s">
        <v>4518</v>
      </c>
      <c r="K174" s="1" t="s">
        <v>4518</v>
      </c>
      <c r="L174" s="1" t="s">
        <v>4518</v>
      </c>
      <c r="M174" s="1" t="s">
        <v>4518</v>
      </c>
      <c r="N174" s="1" t="s">
        <v>5568</v>
      </c>
      <c r="O174" s="1" t="s">
        <v>4518</v>
      </c>
      <c r="P174" s="1" t="s">
        <v>4518</v>
      </c>
      <c r="Q174" s="1" t="s">
        <v>4518</v>
      </c>
    </row>
    <row r="175" spans="1:17" x14ac:dyDescent="0.2">
      <c r="A175" s="1" t="s">
        <v>5829</v>
      </c>
      <c r="B175" s="1" t="s">
        <v>5372</v>
      </c>
      <c r="C175" s="1" t="s">
        <v>5637</v>
      </c>
      <c r="D175" s="1" t="s">
        <v>5830</v>
      </c>
      <c r="E175" s="1" t="s">
        <v>52</v>
      </c>
      <c r="F175" s="1" t="s">
        <v>4518</v>
      </c>
      <c r="G175" s="1" t="s">
        <v>4518</v>
      </c>
      <c r="H175" s="1" t="s">
        <v>4518</v>
      </c>
      <c r="I175" s="1" t="s">
        <v>4518</v>
      </c>
      <c r="J175" s="1" t="s">
        <v>4518</v>
      </c>
      <c r="K175" s="1" t="s">
        <v>4518</v>
      </c>
      <c r="L175" s="1" t="s">
        <v>4518</v>
      </c>
      <c r="M175" s="1" t="s">
        <v>4518</v>
      </c>
      <c r="N175" s="1" t="s">
        <v>5568</v>
      </c>
      <c r="O175" s="1" t="s">
        <v>4518</v>
      </c>
      <c r="P175" s="1" t="s">
        <v>4518</v>
      </c>
      <c r="Q175" s="1" t="s">
        <v>4518</v>
      </c>
    </row>
    <row r="176" spans="1:17" x14ac:dyDescent="0.2">
      <c r="A176" s="1" t="s">
        <v>5831</v>
      </c>
      <c r="B176" s="1" t="s">
        <v>5373</v>
      </c>
      <c r="C176" s="1" t="s">
        <v>5637</v>
      </c>
      <c r="D176" s="1" t="s">
        <v>5832</v>
      </c>
      <c r="E176" s="1" t="s">
        <v>52</v>
      </c>
      <c r="F176" s="1" t="s">
        <v>4518</v>
      </c>
      <c r="G176" s="1" t="s">
        <v>4518</v>
      </c>
      <c r="H176" s="1" t="s">
        <v>4518</v>
      </c>
      <c r="I176" s="1" t="s">
        <v>4518</v>
      </c>
      <c r="J176" s="1" t="s">
        <v>4518</v>
      </c>
      <c r="K176" s="1" t="s">
        <v>4518</v>
      </c>
      <c r="L176" s="1" t="s">
        <v>4518</v>
      </c>
      <c r="M176" s="1" t="s">
        <v>4518</v>
      </c>
      <c r="N176" s="1" t="s">
        <v>5568</v>
      </c>
      <c r="O176" s="1" t="s">
        <v>4518</v>
      </c>
      <c r="P176" s="1" t="s">
        <v>4518</v>
      </c>
      <c r="Q176" s="1" t="s">
        <v>4518</v>
      </c>
    </row>
    <row r="177" spans="1:17" x14ac:dyDescent="0.2">
      <c r="A177" s="1" t="s">
        <v>5833</v>
      </c>
      <c r="B177" s="1" t="s">
        <v>5374</v>
      </c>
      <c r="C177" s="1" t="s">
        <v>5637</v>
      </c>
      <c r="D177" s="1" t="s">
        <v>5834</v>
      </c>
      <c r="E177" s="1" t="s">
        <v>52</v>
      </c>
      <c r="F177" s="1" t="s">
        <v>4518</v>
      </c>
      <c r="G177" s="1" t="s">
        <v>4518</v>
      </c>
      <c r="H177" s="1" t="s">
        <v>4518</v>
      </c>
      <c r="I177" s="1" t="s">
        <v>4518</v>
      </c>
      <c r="J177" s="1" t="s">
        <v>4518</v>
      </c>
      <c r="K177" s="1" t="s">
        <v>4518</v>
      </c>
      <c r="L177" s="1" t="s">
        <v>4518</v>
      </c>
      <c r="M177" s="1" t="s">
        <v>4518</v>
      </c>
      <c r="N177" s="1" t="s">
        <v>5568</v>
      </c>
      <c r="O177" s="1" t="s">
        <v>4518</v>
      </c>
      <c r="P177" s="1" t="s">
        <v>4518</v>
      </c>
      <c r="Q177" s="1" t="s">
        <v>4518</v>
      </c>
    </row>
    <row r="178" spans="1:17" x14ac:dyDescent="0.2">
      <c r="A178" s="1" t="s">
        <v>5835</v>
      </c>
      <c r="B178" s="1" t="s">
        <v>5375</v>
      </c>
      <c r="C178" s="1" t="s">
        <v>5637</v>
      </c>
      <c r="E178" s="1" t="s">
        <v>52</v>
      </c>
      <c r="F178" s="1" t="s">
        <v>4518</v>
      </c>
      <c r="G178" s="1" t="s">
        <v>4518</v>
      </c>
      <c r="H178" s="1" t="s">
        <v>4518</v>
      </c>
      <c r="I178" s="1" t="s">
        <v>4518</v>
      </c>
      <c r="J178" s="1" t="s">
        <v>4518</v>
      </c>
      <c r="K178" s="1" t="s">
        <v>4518</v>
      </c>
      <c r="L178" s="1" t="s">
        <v>4518</v>
      </c>
      <c r="M178" s="1" t="s">
        <v>4518</v>
      </c>
      <c r="N178" s="1" t="s">
        <v>5568</v>
      </c>
      <c r="O178" s="1" t="s">
        <v>4518</v>
      </c>
      <c r="P178" s="1" t="s">
        <v>4518</v>
      </c>
      <c r="Q178" s="1" t="s">
        <v>4518</v>
      </c>
    </row>
    <row r="179" spans="1:17" x14ac:dyDescent="0.2">
      <c r="A179" s="1" t="s">
        <v>5836</v>
      </c>
      <c r="B179" s="1" t="s">
        <v>5376</v>
      </c>
      <c r="C179" s="1" t="s">
        <v>5637</v>
      </c>
      <c r="D179" s="1" t="s">
        <v>5837</v>
      </c>
      <c r="E179" s="1" t="s">
        <v>52</v>
      </c>
      <c r="F179" s="1" t="s">
        <v>4518</v>
      </c>
      <c r="G179" s="1" t="s">
        <v>4518</v>
      </c>
      <c r="H179" s="1" t="s">
        <v>4518</v>
      </c>
      <c r="I179" s="1" t="s">
        <v>4518</v>
      </c>
      <c r="J179" s="1" t="s">
        <v>4518</v>
      </c>
      <c r="K179" s="1" t="s">
        <v>4518</v>
      </c>
      <c r="L179" s="1" t="s">
        <v>4518</v>
      </c>
      <c r="M179" s="1" t="s">
        <v>4518</v>
      </c>
      <c r="N179" s="1" t="s">
        <v>5568</v>
      </c>
      <c r="O179" s="1" t="s">
        <v>4518</v>
      </c>
      <c r="P179" s="1" t="s">
        <v>4518</v>
      </c>
      <c r="Q179" s="1" t="s">
        <v>4518</v>
      </c>
    </row>
    <row r="180" spans="1:17" x14ac:dyDescent="0.2">
      <c r="A180" s="1" t="s">
        <v>5838</v>
      </c>
      <c r="B180" s="1" t="s">
        <v>5377</v>
      </c>
      <c r="C180" s="1" t="s">
        <v>5637</v>
      </c>
      <c r="D180" s="1" t="s">
        <v>5839</v>
      </c>
      <c r="E180" s="1" t="s">
        <v>52</v>
      </c>
      <c r="F180" s="1" t="s">
        <v>4518</v>
      </c>
      <c r="G180" s="1" t="s">
        <v>4518</v>
      </c>
      <c r="H180" s="1" t="s">
        <v>4518</v>
      </c>
      <c r="I180" s="1" t="s">
        <v>4518</v>
      </c>
      <c r="J180" s="1" t="s">
        <v>4518</v>
      </c>
      <c r="K180" s="1" t="s">
        <v>4518</v>
      </c>
      <c r="L180" s="1" t="s">
        <v>4518</v>
      </c>
      <c r="M180" s="1" t="s">
        <v>4518</v>
      </c>
      <c r="N180" s="1" t="s">
        <v>5568</v>
      </c>
      <c r="O180" s="1" t="s">
        <v>4518</v>
      </c>
      <c r="P180" s="1" t="s">
        <v>4518</v>
      </c>
      <c r="Q180" s="1" t="s">
        <v>4518</v>
      </c>
    </row>
    <row r="181" spans="1:17" x14ac:dyDescent="0.2">
      <c r="A181" s="1" t="s">
        <v>5840</v>
      </c>
      <c r="B181" s="1" t="s">
        <v>5378</v>
      </c>
      <c r="C181" s="1" t="s">
        <v>5637</v>
      </c>
      <c r="E181" s="1" t="s">
        <v>52</v>
      </c>
      <c r="F181" s="1" t="s">
        <v>4518</v>
      </c>
      <c r="G181" s="1" t="s">
        <v>4518</v>
      </c>
      <c r="H181" s="1" t="s">
        <v>4518</v>
      </c>
      <c r="I181" s="1" t="s">
        <v>4518</v>
      </c>
      <c r="J181" s="1" t="s">
        <v>4518</v>
      </c>
      <c r="K181" s="1" t="s">
        <v>4518</v>
      </c>
      <c r="L181" s="1" t="s">
        <v>4518</v>
      </c>
      <c r="M181" s="1" t="s">
        <v>4518</v>
      </c>
      <c r="N181" s="1" t="s">
        <v>5568</v>
      </c>
      <c r="O181" s="1" t="s">
        <v>4518</v>
      </c>
      <c r="P181" s="1" t="s">
        <v>4518</v>
      </c>
      <c r="Q181" s="1" t="s">
        <v>4518</v>
      </c>
    </row>
    <row r="182" spans="1:17" x14ac:dyDescent="0.2">
      <c r="A182" s="1" t="s">
        <v>5841</v>
      </c>
      <c r="B182" s="1" t="s">
        <v>5379</v>
      </c>
      <c r="C182" s="1" t="s">
        <v>5637</v>
      </c>
      <c r="D182" s="1" t="s">
        <v>5842</v>
      </c>
      <c r="E182" s="1" t="s">
        <v>52</v>
      </c>
      <c r="F182" s="1" t="s">
        <v>4518</v>
      </c>
      <c r="G182" s="1" t="s">
        <v>4518</v>
      </c>
      <c r="H182" s="1" t="s">
        <v>4518</v>
      </c>
      <c r="I182" s="1" t="s">
        <v>4518</v>
      </c>
      <c r="J182" s="1" t="s">
        <v>4518</v>
      </c>
      <c r="K182" s="1" t="s">
        <v>4518</v>
      </c>
      <c r="L182" s="1" t="s">
        <v>4518</v>
      </c>
      <c r="M182" s="1" t="s">
        <v>4518</v>
      </c>
      <c r="N182" s="1" t="s">
        <v>5568</v>
      </c>
      <c r="O182" s="1" t="s">
        <v>4518</v>
      </c>
      <c r="P182" s="1" t="s">
        <v>4518</v>
      </c>
      <c r="Q182" s="1" t="s">
        <v>4518</v>
      </c>
    </row>
    <row r="183" spans="1:17" x14ac:dyDescent="0.2">
      <c r="A183" s="1" t="s">
        <v>5843</v>
      </c>
      <c r="B183" s="1" t="s">
        <v>5380</v>
      </c>
      <c r="C183" s="1" t="s">
        <v>5637</v>
      </c>
      <c r="E183" s="1" t="s">
        <v>52</v>
      </c>
      <c r="F183" s="1" t="s">
        <v>4518</v>
      </c>
      <c r="G183" s="1" t="s">
        <v>4518</v>
      </c>
      <c r="H183" s="1" t="s">
        <v>4518</v>
      </c>
      <c r="I183" s="1" t="s">
        <v>4518</v>
      </c>
      <c r="J183" s="1" t="s">
        <v>4518</v>
      </c>
      <c r="K183" s="1" t="s">
        <v>4518</v>
      </c>
      <c r="L183" s="1" t="s">
        <v>4518</v>
      </c>
      <c r="M183" s="1" t="s">
        <v>4518</v>
      </c>
      <c r="N183" s="1" t="s">
        <v>5568</v>
      </c>
      <c r="O183" s="1" t="s">
        <v>4518</v>
      </c>
      <c r="P183" s="1" t="s">
        <v>4518</v>
      </c>
      <c r="Q183" s="1" t="s">
        <v>4518</v>
      </c>
    </row>
    <row r="184" spans="1:17" x14ac:dyDescent="0.2">
      <c r="A184" s="1" t="s">
        <v>5844</v>
      </c>
      <c r="B184" s="1" t="s">
        <v>5381</v>
      </c>
      <c r="C184" s="1" t="s">
        <v>5637</v>
      </c>
      <c r="D184" s="1" t="s">
        <v>5845</v>
      </c>
      <c r="E184" s="1" t="s">
        <v>52</v>
      </c>
      <c r="F184" s="1" t="s">
        <v>4518</v>
      </c>
      <c r="G184" s="1" t="s">
        <v>4518</v>
      </c>
      <c r="H184" s="1" t="s">
        <v>4518</v>
      </c>
      <c r="I184" s="1" t="s">
        <v>4518</v>
      </c>
      <c r="J184" s="1" t="s">
        <v>4518</v>
      </c>
      <c r="K184" s="1" t="s">
        <v>4518</v>
      </c>
      <c r="L184" s="1" t="s">
        <v>4518</v>
      </c>
      <c r="M184" s="1" t="s">
        <v>4518</v>
      </c>
      <c r="N184" s="1" t="s">
        <v>5568</v>
      </c>
      <c r="O184" s="1" t="s">
        <v>4518</v>
      </c>
      <c r="P184" s="1" t="s">
        <v>4518</v>
      </c>
      <c r="Q184" s="1" t="s">
        <v>4518</v>
      </c>
    </row>
    <row r="185" spans="1:17" x14ac:dyDescent="0.2">
      <c r="A185" s="1" t="s">
        <v>5846</v>
      </c>
      <c r="B185" s="1" t="s">
        <v>5382</v>
      </c>
      <c r="C185" s="1" t="s">
        <v>5637</v>
      </c>
      <c r="D185" s="1" t="s">
        <v>5847</v>
      </c>
      <c r="E185" s="1" t="s">
        <v>52</v>
      </c>
      <c r="F185" s="1" t="s">
        <v>4518</v>
      </c>
      <c r="G185" s="1" t="s">
        <v>4518</v>
      </c>
      <c r="H185" s="1" t="s">
        <v>4518</v>
      </c>
      <c r="I185" s="1" t="s">
        <v>4518</v>
      </c>
      <c r="J185" s="1" t="s">
        <v>4518</v>
      </c>
      <c r="K185" s="1" t="s">
        <v>4518</v>
      </c>
      <c r="L185" s="1" t="s">
        <v>4518</v>
      </c>
      <c r="M185" s="1" t="s">
        <v>4518</v>
      </c>
      <c r="N185" s="1" t="s">
        <v>5568</v>
      </c>
      <c r="O185" s="1" t="s">
        <v>4518</v>
      </c>
      <c r="P185" s="1" t="s">
        <v>4518</v>
      </c>
      <c r="Q185" s="1" t="s">
        <v>4518</v>
      </c>
    </row>
    <row r="186" spans="1:17" x14ac:dyDescent="0.2">
      <c r="A186" s="1" t="s">
        <v>5848</v>
      </c>
      <c r="B186" s="1" t="s">
        <v>5383</v>
      </c>
      <c r="C186" s="1" t="s">
        <v>5637</v>
      </c>
      <c r="D186" s="1" t="s">
        <v>5849</v>
      </c>
      <c r="E186" s="1" t="s">
        <v>52</v>
      </c>
      <c r="F186" s="1" t="s">
        <v>4518</v>
      </c>
      <c r="G186" s="1" t="s">
        <v>4518</v>
      </c>
      <c r="H186" s="1" t="s">
        <v>4518</v>
      </c>
      <c r="I186" s="1" t="s">
        <v>4518</v>
      </c>
      <c r="J186" s="1" t="s">
        <v>4518</v>
      </c>
      <c r="K186" s="1" t="s">
        <v>4518</v>
      </c>
      <c r="L186" s="1" t="s">
        <v>4518</v>
      </c>
      <c r="M186" s="1" t="s">
        <v>4518</v>
      </c>
      <c r="N186" s="1" t="s">
        <v>5568</v>
      </c>
      <c r="O186" s="1" t="s">
        <v>4518</v>
      </c>
      <c r="P186" s="1" t="s">
        <v>4518</v>
      </c>
      <c r="Q186" s="1" t="s">
        <v>4518</v>
      </c>
    </row>
    <row r="187" spans="1:17" x14ac:dyDescent="0.2">
      <c r="A187" s="1" t="s">
        <v>5850</v>
      </c>
      <c r="B187" s="1" t="s">
        <v>5384</v>
      </c>
      <c r="C187" s="1" t="s">
        <v>5637</v>
      </c>
      <c r="D187" s="1" t="s">
        <v>5851</v>
      </c>
      <c r="E187" s="1" t="s">
        <v>52</v>
      </c>
      <c r="F187" s="1" t="s">
        <v>4518</v>
      </c>
      <c r="G187" s="1" t="s">
        <v>4518</v>
      </c>
      <c r="H187" s="1" t="s">
        <v>4518</v>
      </c>
      <c r="I187" s="1" t="s">
        <v>4518</v>
      </c>
      <c r="J187" s="1" t="s">
        <v>4518</v>
      </c>
      <c r="K187" s="1" t="s">
        <v>4518</v>
      </c>
      <c r="L187" s="1" t="s">
        <v>4518</v>
      </c>
      <c r="M187" s="1" t="s">
        <v>4518</v>
      </c>
      <c r="N187" s="1" t="s">
        <v>5568</v>
      </c>
      <c r="O187" s="1" t="s">
        <v>4518</v>
      </c>
      <c r="P187" s="1" t="s">
        <v>4518</v>
      </c>
      <c r="Q187" s="1" t="s">
        <v>4518</v>
      </c>
    </row>
    <row r="188" spans="1:17" x14ac:dyDescent="0.2">
      <c r="A188" s="1" t="s">
        <v>5852</v>
      </c>
      <c r="B188" s="1" t="s">
        <v>5385</v>
      </c>
      <c r="C188" s="1" t="s">
        <v>5637</v>
      </c>
      <c r="D188" s="1" t="s">
        <v>5853</v>
      </c>
      <c r="E188" s="1" t="s">
        <v>52</v>
      </c>
      <c r="F188" s="1" t="s">
        <v>4518</v>
      </c>
      <c r="G188" s="1" t="s">
        <v>4518</v>
      </c>
      <c r="H188" s="1" t="s">
        <v>4518</v>
      </c>
      <c r="I188" s="1" t="s">
        <v>4518</v>
      </c>
      <c r="J188" s="1" t="s">
        <v>4518</v>
      </c>
      <c r="K188" s="1" t="s">
        <v>4518</v>
      </c>
      <c r="L188" s="1" t="s">
        <v>4518</v>
      </c>
      <c r="M188" s="1" t="s">
        <v>4518</v>
      </c>
      <c r="N188" s="1" t="s">
        <v>5568</v>
      </c>
      <c r="O188" s="1" t="s">
        <v>4518</v>
      </c>
      <c r="P188" s="1" t="s">
        <v>4518</v>
      </c>
      <c r="Q188" s="1" t="s">
        <v>4518</v>
      </c>
    </row>
    <row r="189" spans="1:17" x14ac:dyDescent="0.2">
      <c r="A189" s="1" t="s">
        <v>5854</v>
      </c>
      <c r="B189" s="1" t="s">
        <v>5386</v>
      </c>
      <c r="C189" s="1" t="s">
        <v>5637</v>
      </c>
      <c r="E189" s="1" t="s">
        <v>52</v>
      </c>
      <c r="F189" s="1" t="s">
        <v>4518</v>
      </c>
      <c r="G189" s="1" t="s">
        <v>4518</v>
      </c>
      <c r="H189" s="1" t="s">
        <v>4518</v>
      </c>
      <c r="I189" s="1" t="s">
        <v>4518</v>
      </c>
      <c r="J189" s="1" t="s">
        <v>4518</v>
      </c>
      <c r="K189" s="1" t="s">
        <v>4518</v>
      </c>
      <c r="L189" s="1" t="s">
        <v>4518</v>
      </c>
      <c r="M189" s="1" t="s">
        <v>4518</v>
      </c>
      <c r="N189" s="1" t="s">
        <v>5568</v>
      </c>
      <c r="O189" s="1" t="s">
        <v>4518</v>
      </c>
      <c r="P189" s="1" t="s">
        <v>4518</v>
      </c>
      <c r="Q189" s="1" t="s">
        <v>4518</v>
      </c>
    </row>
    <row r="190" spans="1:17" x14ac:dyDescent="0.2">
      <c r="A190" s="1" t="s">
        <v>5855</v>
      </c>
      <c r="B190" s="1" t="s">
        <v>5387</v>
      </c>
      <c r="C190" s="1" t="s">
        <v>5637</v>
      </c>
      <c r="D190" s="1" t="s">
        <v>5856</v>
      </c>
      <c r="E190" s="1" t="s">
        <v>52</v>
      </c>
      <c r="F190" s="1" t="s">
        <v>4518</v>
      </c>
      <c r="G190" s="1" t="s">
        <v>4518</v>
      </c>
      <c r="H190" s="1" t="s">
        <v>4518</v>
      </c>
      <c r="I190" s="1" t="s">
        <v>4518</v>
      </c>
      <c r="J190" s="1" t="s">
        <v>4518</v>
      </c>
      <c r="K190" s="1" t="s">
        <v>4518</v>
      </c>
      <c r="L190" s="1" t="s">
        <v>4518</v>
      </c>
      <c r="M190" s="1" t="s">
        <v>4518</v>
      </c>
      <c r="N190" s="1" t="s">
        <v>5568</v>
      </c>
      <c r="O190" s="1" t="s">
        <v>4518</v>
      </c>
      <c r="P190" s="1" t="s">
        <v>4518</v>
      </c>
      <c r="Q190" s="1" t="s">
        <v>4518</v>
      </c>
    </row>
    <row r="191" spans="1:17" x14ac:dyDescent="0.2">
      <c r="A191" s="1" t="s">
        <v>5857</v>
      </c>
      <c r="B191" s="1" t="s">
        <v>5388</v>
      </c>
      <c r="C191" s="1" t="s">
        <v>5637</v>
      </c>
      <c r="D191" s="1" t="s">
        <v>5858</v>
      </c>
      <c r="E191" s="1" t="s">
        <v>52</v>
      </c>
      <c r="F191" s="1" t="s">
        <v>4518</v>
      </c>
      <c r="G191" s="1" t="s">
        <v>4518</v>
      </c>
      <c r="H191" s="1" t="s">
        <v>4518</v>
      </c>
      <c r="I191" s="1" t="s">
        <v>4518</v>
      </c>
      <c r="J191" s="1" t="s">
        <v>4518</v>
      </c>
      <c r="K191" s="1" t="s">
        <v>4518</v>
      </c>
      <c r="L191" s="1" t="s">
        <v>4518</v>
      </c>
      <c r="M191" s="1" t="s">
        <v>4518</v>
      </c>
      <c r="N191" s="1" t="s">
        <v>5568</v>
      </c>
      <c r="O191" s="1" t="s">
        <v>4518</v>
      </c>
      <c r="P191" s="1" t="s">
        <v>4518</v>
      </c>
      <c r="Q191" s="1" t="s">
        <v>4518</v>
      </c>
    </row>
    <row r="192" spans="1:17" x14ac:dyDescent="0.2">
      <c r="A192" s="1" t="s">
        <v>5859</v>
      </c>
      <c r="B192" s="1" t="s">
        <v>5389</v>
      </c>
      <c r="C192" s="1" t="s">
        <v>5637</v>
      </c>
      <c r="E192" s="1" t="s">
        <v>52</v>
      </c>
      <c r="F192" s="1" t="s">
        <v>4518</v>
      </c>
      <c r="G192" s="1" t="s">
        <v>4518</v>
      </c>
      <c r="H192" s="1" t="s">
        <v>4518</v>
      </c>
      <c r="I192" s="1" t="s">
        <v>4518</v>
      </c>
      <c r="J192" s="1" t="s">
        <v>4518</v>
      </c>
      <c r="K192" s="1" t="s">
        <v>4518</v>
      </c>
      <c r="L192" s="1" t="s">
        <v>4518</v>
      </c>
      <c r="M192" s="1" t="s">
        <v>4518</v>
      </c>
      <c r="N192" s="1" t="s">
        <v>5568</v>
      </c>
      <c r="O192" s="1" t="s">
        <v>4518</v>
      </c>
      <c r="P192" s="1" t="s">
        <v>4518</v>
      </c>
      <c r="Q192" s="1" t="s">
        <v>4518</v>
      </c>
    </row>
    <row r="193" spans="1:17" x14ac:dyDescent="0.2">
      <c r="A193" s="1" t="s">
        <v>5860</v>
      </c>
      <c r="B193" s="1" t="s">
        <v>5390</v>
      </c>
      <c r="C193" s="1" t="s">
        <v>5637</v>
      </c>
      <c r="E193" s="1" t="s">
        <v>52</v>
      </c>
      <c r="F193" s="1" t="s">
        <v>4518</v>
      </c>
      <c r="G193" s="1" t="s">
        <v>4518</v>
      </c>
      <c r="H193" s="1" t="s">
        <v>4518</v>
      </c>
      <c r="I193" s="1" t="s">
        <v>4518</v>
      </c>
      <c r="J193" s="1" t="s">
        <v>4518</v>
      </c>
      <c r="K193" s="1" t="s">
        <v>4518</v>
      </c>
      <c r="L193" s="1" t="s">
        <v>4518</v>
      </c>
      <c r="M193" s="1" t="s">
        <v>4518</v>
      </c>
      <c r="N193" s="1" t="s">
        <v>5568</v>
      </c>
      <c r="O193" s="1" t="s">
        <v>4518</v>
      </c>
      <c r="P193" s="1" t="s">
        <v>4518</v>
      </c>
      <c r="Q193" s="1" t="s">
        <v>4518</v>
      </c>
    </row>
    <row r="194" spans="1:17" x14ac:dyDescent="0.2">
      <c r="A194" s="1" t="s">
        <v>6624</v>
      </c>
      <c r="B194" s="1" t="s">
        <v>6700</v>
      </c>
      <c r="C194" s="1" t="s">
        <v>5637</v>
      </c>
      <c r="E194" s="1" t="s">
        <v>52</v>
      </c>
      <c r="F194" s="1" t="s">
        <v>4518</v>
      </c>
      <c r="G194" s="1" t="s">
        <v>4518</v>
      </c>
      <c r="H194" s="1" t="s">
        <v>4518</v>
      </c>
      <c r="I194" s="1" t="s">
        <v>4518</v>
      </c>
      <c r="J194" s="1" t="s">
        <v>4518</v>
      </c>
      <c r="K194" s="1" t="s">
        <v>4518</v>
      </c>
      <c r="L194" s="1" t="s">
        <v>4518</v>
      </c>
      <c r="M194" s="1" t="s">
        <v>4518</v>
      </c>
      <c r="N194" s="1" t="s">
        <v>5568</v>
      </c>
      <c r="O194" s="1" t="s">
        <v>4518</v>
      </c>
      <c r="P194" s="1" t="s">
        <v>4518</v>
      </c>
      <c r="Q194" s="1" t="s">
        <v>4518</v>
      </c>
    </row>
    <row r="195" spans="1:17" x14ac:dyDescent="0.2">
      <c r="A195" s="1" t="s">
        <v>5861</v>
      </c>
      <c r="B195" s="1" t="s">
        <v>5391</v>
      </c>
      <c r="C195" s="1" t="s">
        <v>5637</v>
      </c>
      <c r="E195" s="1" t="s">
        <v>52</v>
      </c>
      <c r="F195" s="1" t="s">
        <v>4518</v>
      </c>
      <c r="G195" s="1" t="s">
        <v>4518</v>
      </c>
      <c r="H195" s="1" t="s">
        <v>4518</v>
      </c>
      <c r="I195" s="1" t="s">
        <v>4518</v>
      </c>
      <c r="J195" s="1" t="s">
        <v>4518</v>
      </c>
      <c r="K195" s="1" t="s">
        <v>4518</v>
      </c>
      <c r="L195" s="1" t="s">
        <v>4518</v>
      </c>
      <c r="M195" s="1" t="s">
        <v>4518</v>
      </c>
      <c r="N195" s="1" t="s">
        <v>5568</v>
      </c>
      <c r="O195" s="1" t="s">
        <v>4518</v>
      </c>
      <c r="P195" s="1" t="s">
        <v>4518</v>
      </c>
      <c r="Q195" s="1" t="s">
        <v>4518</v>
      </c>
    </row>
    <row r="196" spans="1:17" x14ac:dyDescent="0.2">
      <c r="A196" s="1" t="s">
        <v>5862</v>
      </c>
      <c r="B196" s="1" t="s">
        <v>5392</v>
      </c>
      <c r="C196" s="1" t="s">
        <v>5637</v>
      </c>
      <c r="E196" s="1" t="s">
        <v>52</v>
      </c>
      <c r="F196" s="1" t="s">
        <v>4518</v>
      </c>
      <c r="G196" s="1" t="s">
        <v>4518</v>
      </c>
      <c r="H196" s="1" t="s">
        <v>4518</v>
      </c>
      <c r="I196" s="1" t="s">
        <v>4518</v>
      </c>
      <c r="J196" s="1" t="s">
        <v>4518</v>
      </c>
      <c r="K196" s="1" t="s">
        <v>4518</v>
      </c>
      <c r="L196" s="1" t="s">
        <v>4518</v>
      </c>
      <c r="M196" s="1" t="s">
        <v>4518</v>
      </c>
      <c r="N196" s="1" t="s">
        <v>5568</v>
      </c>
      <c r="O196" s="1" t="s">
        <v>4518</v>
      </c>
      <c r="P196" s="1" t="s">
        <v>4518</v>
      </c>
      <c r="Q196" s="1" t="s">
        <v>4518</v>
      </c>
    </row>
    <row r="197" spans="1:17" x14ac:dyDescent="0.2">
      <c r="A197" s="1" t="s">
        <v>6623</v>
      </c>
      <c r="B197" s="1" t="s">
        <v>6699</v>
      </c>
      <c r="C197" s="1" t="s">
        <v>5637</v>
      </c>
      <c r="E197" s="1" t="s">
        <v>52</v>
      </c>
      <c r="F197" s="1" t="s">
        <v>4518</v>
      </c>
      <c r="G197" s="1" t="s">
        <v>4518</v>
      </c>
      <c r="H197" s="1" t="s">
        <v>4518</v>
      </c>
      <c r="I197" s="1" t="s">
        <v>4518</v>
      </c>
      <c r="J197" s="1" t="s">
        <v>4518</v>
      </c>
      <c r="K197" s="1" t="s">
        <v>4518</v>
      </c>
      <c r="L197" s="1" t="s">
        <v>4518</v>
      </c>
      <c r="M197" s="1" t="s">
        <v>4518</v>
      </c>
      <c r="N197" s="1" t="s">
        <v>5568</v>
      </c>
      <c r="O197" s="1" t="s">
        <v>4518</v>
      </c>
      <c r="P197" s="1" t="s">
        <v>4518</v>
      </c>
      <c r="Q197" s="1" t="s">
        <v>4518</v>
      </c>
    </row>
    <row r="198" spans="1:17" x14ac:dyDescent="0.2">
      <c r="A198" s="1" t="s">
        <v>6623</v>
      </c>
      <c r="B198" s="1" t="s">
        <v>6700</v>
      </c>
      <c r="C198" s="1" t="s">
        <v>5637</v>
      </c>
      <c r="E198" s="1" t="s">
        <v>52</v>
      </c>
      <c r="F198" s="1" t="s">
        <v>4518</v>
      </c>
      <c r="G198" s="1" t="s">
        <v>4518</v>
      </c>
      <c r="H198" s="1" t="s">
        <v>4518</v>
      </c>
      <c r="I198" s="1" t="s">
        <v>4518</v>
      </c>
      <c r="J198" s="1" t="s">
        <v>4518</v>
      </c>
      <c r="K198" s="1" t="s">
        <v>4518</v>
      </c>
      <c r="L198" s="1" t="s">
        <v>4518</v>
      </c>
      <c r="M198" s="1" t="s">
        <v>4518</v>
      </c>
      <c r="N198" s="1" t="s">
        <v>5568</v>
      </c>
      <c r="O198" s="1" t="s">
        <v>4518</v>
      </c>
      <c r="P198" s="1" t="s">
        <v>4518</v>
      </c>
      <c r="Q198" s="1" t="s">
        <v>4518</v>
      </c>
    </row>
    <row r="199" spans="1:17" x14ac:dyDescent="0.2">
      <c r="A199" s="1" t="s">
        <v>5863</v>
      </c>
      <c r="B199" s="1" t="s">
        <v>5393</v>
      </c>
      <c r="C199" s="1" t="s">
        <v>5637</v>
      </c>
      <c r="E199" s="1" t="s">
        <v>52</v>
      </c>
      <c r="F199" s="1" t="s">
        <v>4518</v>
      </c>
      <c r="G199" s="1" t="s">
        <v>4518</v>
      </c>
      <c r="H199" s="1" t="s">
        <v>4518</v>
      </c>
      <c r="I199" s="1" t="s">
        <v>4518</v>
      </c>
      <c r="J199" s="1" t="s">
        <v>4518</v>
      </c>
      <c r="K199" s="1" t="s">
        <v>4518</v>
      </c>
      <c r="L199" s="1" t="s">
        <v>4518</v>
      </c>
      <c r="M199" s="1" t="s">
        <v>4518</v>
      </c>
      <c r="N199" s="1" t="s">
        <v>5568</v>
      </c>
      <c r="O199" s="1" t="s">
        <v>4518</v>
      </c>
      <c r="P199" s="1" t="s">
        <v>4518</v>
      </c>
      <c r="Q199" s="1" t="s">
        <v>4518</v>
      </c>
    </row>
    <row r="200" spans="1:17" x14ac:dyDescent="0.2">
      <c r="A200" s="1" t="s">
        <v>5864</v>
      </c>
      <c r="B200" s="1" t="s">
        <v>5275</v>
      </c>
      <c r="C200" s="1" t="s">
        <v>5637</v>
      </c>
      <c r="E200" s="1" t="s">
        <v>52</v>
      </c>
      <c r="F200" s="1" t="s">
        <v>4518</v>
      </c>
      <c r="G200" s="1" t="s">
        <v>4518</v>
      </c>
      <c r="H200" s="1" t="s">
        <v>4518</v>
      </c>
      <c r="I200" s="1" t="s">
        <v>4518</v>
      </c>
      <c r="J200" s="1" t="s">
        <v>4518</v>
      </c>
      <c r="K200" s="1" t="s">
        <v>4518</v>
      </c>
      <c r="L200" s="1" t="s">
        <v>4518</v>
      </c>
      <c r="M200" s="1" t="s">
        <v>4518</v>
      </c>
      <c r="N200" s="1" t="s">
        <v>5568</v>
      </c>
      <c r="O200" s="1" t="s">
        <v>4518</v>
      </c>
      <c r="P200" s="1" t="s">
        <v>4518</v>
      </c>
      <c r="Q200" s="1" t="s">
        <v>4518</v>
      </c>
    </row>
    <row r="201" spans="1:17" x14ac:dyDescent="0.2">
      <c r="A201" s="1" t="s">
        <v>5865</v>
      </c>
      <c r="B201" s="1" t="s">
        <v>1143</v>
      </c>
      <c r="C201" s="1" t="s">
        <v>5637</v>
      </c>
      <c r="E201" s="1" t="s">
        <v>52</v>
      </c>
      <c r="F201" s="1" t="s">
        <v>4518</v>
      </c>
      <c r="G201" s="1" t="s">
        <v>4518</v>
      </c>
      <c r="H201" s="1" t="s">
        <v>4518</v>
      </c>
      <c r="I201" s="1" t="s">
        <v>4518</v>
      </c>
      <c r="J201" s="1" t="s">
        <v>4518</v>
      </c>
      <c r="K201" s="1" t="s">
        <v>4518</v>
      </c>
      <c r="L201" s="1" t="s">
        <v>4518</v>
      </c>
      <c r="M201" s="1" t="s">
        <v>4518</v>
      </c>
      <c r="N201" s="1" t="s">
        <v>5568</v>
      </c>
      <c r="O201" s="1" t="s">
        <v>4518</v>
      </c>
      <c r="P201" s="1" t="s">
        <v>4518</v>
      </c>
      <c r="Q201" s="1" t="s">
        <v>4518</v>
      </c>
    </row>
    <row r="202" spans="1:17" x14ac:dyDescent="0.2">
      <c r="A202" s="1" t="s">
        <v>5866</v>
      </c>
      <c r="B202" s="1" t="s">
        <v>1144</v>
      </c>
      <c r="C202" s="1" t="s">
        <v>5637</v>
      </c>
      <c r="E202" s="1" t="s">
        <v>52</v>
      </c>
      <c r="F202" s="1" t="s">
        <v>4518</v>
      </c>
      <c r="G202" s="1" t="s">
        <v>4518</v>
      </c>
      <c r="H202" s="1" t="s">
        <v>4518</v>
      </c>
      <c r="I202" s="1" t="s">
        <v>4518</v>
      </c>
      <c r="J202" s="1" t="s">
        <v>4518</v>
      </c>
      <c r="K202" s="1" t="s">
        <v>4518</v>
      </c>
      <c r="L202" s="1" t="s">
        <v>4518</v>
      </c>
      <c r="M202" s="1" t="s">
        <v>4518</v>
      </c>
      <c r="N202" s="1" t="s">
        <v>5568</v>
      </c>
      <c r="O202" s="1" t="s">
        <v>4518</v>
      </c>
      <c r="P202" s="1" t="s">
        <v>4518</v>
      </c>
      <c r="Q202" s="1" t="s">
        <v>4518</v>
      </c>
    </row>
    <row r="203" spans="1:17" x14ac:dyDescent="0.2">
      <c r="A203" s="1" t="s">
        <v>5867</v>
      </c>
      <c r="B203" s="1" t="s">
        <v>1145</v>
      </c>
      <c r="C203" s="1" t="s">
        <v>5637</v>
      </c>
      <c r="E203" s="1" t="s">
        <v>5589</v>
      </c>
      <c r="F203" s="1" t="s">
        <v>5568</v>
      </c>
      <c r="G203" s="1" t="s">
        <v>4518</v>
      </c>
      <c r="H203" s="1" t="s">
        <v>4518</v>
      </c>
      <c r="I203" s="1" t="s">
        <v>4518</v>
      </c>
      <c r="J203" s="1" t="s">
        <v>4518</v>
      </c>
      <c r="K203" s="1" t="s">
        <v>4518</v>
      </c>
      <c r="L203" s="1" t="s">
        <v>4518</v>
      </c>
      <c r="M203" s="1" t="s">
        <v>4518</v>
      </c>
      <c r="N203" s="1" t="s">
        <v>5568</v>
      </c>
      <c r="O203" s="1" t="s">
        <v>4518</v>
      </c>
      <c r="P203" s="1" t="s">
        <v>4518</v>
      </c>
      <c r="Q203" s="1" t="s">
        <v>4518</v>
      </c>
    </row>
    <row r="204" spans="1:17" x14ac:dyDescent="0.2">
      <c r="A204" s="1" t="s">
        <v>5868</v>
      </c>
      <c r="B204" s="1" t="s">
        <v>1147</v>
      </c>
      <c r="C204" s="1" t="s">
        <v>5637</v>
      </c>
      <c r="E204" s="1" t="s">
        <v>52</v>
      </c>
      <c r="F204" s="1" t="s">
        <v>4518</v>
      </c>
      <c r="G204" s="1" t="s">
        <v>4518</v>
      </c>
      <c r="H204" s="1" t="s">
        <v>4518</v>
      </c>
      <c r="I204" s="1" t="s">
        <v>4518</v>
      </c>
      <c r="J204" s="1" t="s">
        <v>4518</v>
      </c>
      <c r="K204" s="1" t="s">
        <v>4518</v>
      </c>
      <c r="L204" s="1" t="s">
        <v>4518</v>
      </c>
      <c r="M204" s="1" t="s">
        <v>4518</v>
      </c>
      <c r="N204" s="1" t="s">
        <v>5568</v>
      </c>
      <c r="O204" s="1" t="s">
        <v>4518</v>
      </c>
      <c r="P204" s="1" t="s">
        <v>4518</v>
      </c>
      <c r="Q204" s="1" t="s">
        <v>4518</v>
      </c>
    </row>
    <row r="205" spans="1:17" x14ac:dyDescent="0.2">
      <c r="A205" s="1" t="s">
        <v>5869</v>
      </c>
      <c r="B205" s="1" t="s">
        <v>162</v>
      </c>
      <c r="C205" s="1" t="s">
        <v>5637</v>
      </c>
      <c r="E205" s="1" t="s">
        <v>52</v>
      </c>
      <c r="F205" s="1" t="s">
        <v>4518</v>
      </c>
      <c r="G205" s="1" t="s">
        <v>4518</v>
      </c>
      <c r="H205" s="1" t="s">
        <v>4518</v>
      </c>
      <c r="I205" s="1" t="s">
        <v>4518</v>
      </c>
      <c r="J205" s="1" t="s">
        <v>4518</v>
      </c>
      <c r="K205" s="1" t="s">
        <v>4518</v>
      </c>
      <c r="L205" s="1" t="s">
        <v>4518</v>
      </c>
      <c r="M205" s="1" t="s">
        <v>4518</v>
      </c>
      <c r="N205" s="1" t="s">
        <v>5568</v>
      </c>
      <c r="O205" s="1" t="s">
        <v>4518</v>
      </c>
      <c r="P205" s="1" t="s">
        <v>4518</v>
      </c>
      <c r="Q205" s="1" t="s">
        <v>4518</v>
      </c>
    </row>
    <row r="206" spans="1:17" x14ac:dyDescent="0.2">
      <c r="A206" s="1" t="s">
        <v>5870</v>
      </c>
      <c r="B206" s="1" t="s">
        <v>5278</v>
      </c>
      <c r="C206" s="1" t="s">
        <v>5637</v>
      </c>
      <c r="D206" s="1" t="s">
        <v>5871</v>
      </c>
      <c r="E206" s="1" t="s">
        <v>52</v>
      </c>
      <c r="F206" s="1" t="s">
        <v>4518</v>
      </c>
      <c r="G206" s="1" t="s">
        <v>4518</v>
      </c>
      <c r="H206" s="1" t="s">
        <v>4518</v>
      </c>
      <c r="I206" s="1" t="s">
        <v>4518</v>
      </c>
      <c r="J206" s="1" t="s">
        <v>4518</v>
      </c>
      <c r="K206" s="1" t="s">
        <v>4518</v>
      </c>
      <c r="L206" s="1" t="s">
        <v>4518</v>
      </c>
      <c r="M206" s="1" t="s">
        <v>4518</v>
      </c>
      <c r="N206" s="1" t="s">
        <v>5568</v>
      </c>
      <c r="O206" s="1" t="s">
        <v>4518</v>
      </c>
      <c r="P206" s="1" t="s">
        <v>4518</v>
      </c>
      <c r="Q206" s="1" t="s">
        <v>4518</v>
      </c>
    </row>
    <row r="207" spans="1:17" x14ac:dyDescent="0.2">
      <c r="A207" s="1" t="s">
        <v>7650</v>
      </c>
      <c r="B207" s="1" t="s">
        <v>6619</v>
      </c>
      <c r="C207" s="1" t="s">
        <v>5637</v>
      </c>
      <c r="E207" s="1" t="s">
        <v>52</v>
      </c>
      <c r="F207" s="1" t="s">
        <v>4518</v>
      </c>
      <c r="G207" s="1" t="s">
        <v>4518</v>
      </c>
      <c r="H207" s="1" t="s">
        <v>4518</v>
      </c>
      <c r="I207" s="1" t="s">
        <v>4518</v>
      </c>
      <c r="J207" s="1" t="s">
        <v>4518</v>
      </c>
      <c r="K207" s="1" t="s">
        <v>4518</v>
      </c>
      <c r="L207" s="1" t="s">
        <v>4518</v>
      </c>
      <c r="M207" s="1" t="s">
        <v>4518</v>
      </c>
      <c r="N207" s="1" t="s">
        <v>5568</v>
      </c>
      <c r="O207" s="1" t="s">
        <v>4518</v>
      </c>
      <c r="P207" s="1" t="s">
        <v>4518</v>
      </c>
      <c r="Q207" s="1" t="s">
        <v>4518</v>
      </c>
    </row>
    <row r="208" spans="1:17" x14ac:dyDescent="0.2">
      <c r="A208" s="1" t="s">
        <v>5872</v>
      </c>
      <c r="B208" s="1" t="s">
        <v>5277</v>
      </c>
      <c r="C208" s="1" t="s">
        <v>5637</v>
      </c>
      <c r="D208" s="1" t="s">
        <v>5873</v>
      </c>
      <c r="E208" s="1" t="s">
        <v>52</v>
      </c>
      <c r="F208" s="1" t="s">
        <v>4518</v>
      </c>
      <c r="G208" s="1" t="s">
        <v>4518</v>
      </c>
      <c r="H208" s="1" t="s">
        <v>4518</v>
      </c>
      <c r="I208" s="1" t="s">
        <v>4518</v>
      </c>
      <c r="J208" s="1" t="s">
        <v>4518</v>
      </c>
      <c r="K208" s="1" t="s">
        <v>4518</v>
      </c>
      <c r="L208" s="1" t="s">
        <v>4518</v>
      </c>
      <c r="M208" s="1" t="s">
        <v>4518</v>
      </c>
      <c r="N208" s="1" t="s">
        <v>5568</v>
      </c>
      <c r="O208" s="1" t="s">
        <v>4518</v>
      </c>
      <c r="P208" s="1" t="s">
        <v>4518</v>
      </c>
      <c r="Q208" s="1" t="s">
        <v>4518</v>
      </c>
    </row>
    <row r="209" spans="1:17" x14ac:dyDescent="0.2">
      <c r="A209" s="1" t="s">
        <v>7651</v>
      </c>
      <c r="B209" s="1" t="s">
        <v>6620</v>
      </c>
      <c r="C209" s="1" t="s">
        <v>5637</v>
      </c>
      <c r="E209" s="1" t="s">
        <v>52</v>
      </c>
      <c r="F209" s="1" t="s">
        <v>4518</v>
      </c>
      <c r="G209" s="1" t="s">
        <v>4518</v>
      </c>
      <c r="H209" s="1" t="s">
        <v>4518</v>
      </c>
      <c r="I209" s="1" t="s">
        <v>4518</v>
      </c>
      <c r="J209" s="1" t="s">
        <v>4518</v>
      </c>
      <c r="K209" s="1" t="s">
        <v>4518</v>
      </c>
      <c r="L209" s="1" t="s">
        <v>4518</v>
      </c>
      <c r="M209" s="1" t="s">
        <v>4518</v>
      </c>
      <c r="N209" s="1" t="s">
        <v>5568</v>
      </c>
      <c r="O209" s="1" t="s">
        <v>4518</v>
      </c>
      <c r="P209" s="1" t="s">
        <v>4518</v>
      </c>
      <c r="Q209" s="1" t="s">
        <v>4518</v>
      </c>
    </row>
    <row r="210" spans="1:17" x14ac:dyDescent="0.2">
      <c r="A210" s="1" t="s">
        <v>5874</v>
      </c>
      <c r="B210" s="1" t="s">
        <v>5276</v>
      </c>
      <c r="C210" s="1" t="s">
        <v>5637</v>
      </c>
      <c r="D210" s="1" t="s">
        <v>5875</v>
      </c>
      <c r="E210" s="1" t="s">
        <v>52</v>
      </c>
      <c r="F210" s="1" t="s">
        <v>4518</v>
      </c>
      <c r="G210" s="1" t="s">
        <v>4518</v>
      </c>
      <c r="H210" s="1" t="s">
        <v>4518</v>
      </c>
      <c r="I210" s="1" t="s">
        <v>4518</v>
      </c>
      <c r="J210" s="1" t="s">
        <v>4518</v>
      </c>
      <c r="K210" s="1" t="s">
        <v>4518</v>
      </c>
      <c r="L210" s="1" t="s">
        <v>4518</v>
      </c>
      <c r="M210" s="1" t="s">
        <v>4518</v>
      </c>
      <c r="N210" s="1" t="s">
        <v>5568</v>
      </c>
      <c r="O210" s="1" t="s">
        <v>4518</v>
      </c>
      <c r="P210" s="1" t="s">
        <v>4518</v>
      </c>
      <c r="Q210" s="1" t="s">
        <v>4518</v>
      </c>
    </row>
    <row r="211" spans="1:17" x14ac:dyDescent="0.2">
      <c r="A211" s="1" t="s">
        <v>7652</v>
      </c>
      <c r="B211" s="1" t="s">
        <v>6617</v>
      </c>
      <c r="C211" s="1" t="s">
        <v>5637</v>
      </c>
      <c r="E211" s="1" t="s">
        <v>52</v>
      </c>
      <c r="F211" s="1" t="s">
        <v>4518</v>
      </c>
      <c r="G211" s="1" t="s">
        <v>4518</v>
      </c>
      <c r="H211" s="1" t="s">
        <v>4518</v>
      </c>
      <c r="I211" s="1" t="s">
        <v>4518</v>
      </c>
      <c r="J211" s="1" t="s">
        <v>4518</v>
      </c>
      <c r="K211" s="1" t="s">
        <v>4518</v>
      </c>
      <c r="L211" s="1" t="s">
        <v>4518</v>
      </c>
      <c r="M211" s="1" t="s">
        <v>4518</v>
      </c>
      <c r="N211" s="1" t="s">
        <v>5568</v>
      </c>
      <c r="O211" s="1" t="s">
        <v>4518</v>
      </c>
      <c r="P211" s="1" t="s">
        <v>4518</v>
      </c>
      <c r="Q211" s="1" t="s">
        <v>4518</v>
      </c>
    </row>
    <row r="212" spans="1:17" x14ac:dyDescent="0.2">
      <c r="A212" s="1" t="s">
        <v>7653</v>
      </c>
      <c r="B212" s="1" t="s">
        <v>6618</v>
      </c>
      <c r="C212" s="1" t="s">
        <v>5637</v>
      </c>
      <c r="E212" s="1" t="s">
        <v>52</v>
      </c>
      <c r="F212" s="1" t="s">
        <v>4518</v>
      </c>
      <c r="G212" s="1" t="s">
        <v>4518</v>
      </c>
      <c r="H212" s="1" t="s">
        <v>4518</v>
      </c>
      <c r="I212" s="1" t="s">
        <v>4518</v>
      </c>
      <c r="J212" s="1" t="s">
        <v>4518</v>
      </c>
      <c r="K212" s="1" t="s">
        <v>4518</v>
      </c>
      <c r="L212" s="1" t="s">
        <v>4518</v>
      </c>
      <c r="M212" s="1" t="s">
        <v>4518</v>
      </c>
      <c r="N212" s="1" t="s">
        <v>5568</v>
      </c>
      <c r="O212" s="1" t="s">
        <v>4518</v>
      </c>
      <c r="P212" s="1" t="s">
        <v>4518</v>
      </c>
      <c r="Q212" s="1" t="s">
        <v>4518</v>
      </c>
    </row>
    <row r="213" spans="1:17" x14ac:dyDescent="0.2">
      <c r="A213" s="1" t="s">
        <v>5876</v>
      </c>
      <c r="B213" s="1" t="s">
        <v>5280</v>
      </c>
      <c r="C213" s="1" t="s">
        <v>5637</v>
      </c>
      <c r="D213" s="1" t="s">
        <v>5877</v>
      </c>
      <c r="E213" s="1" t="s">
        <v>52</v>
      </c>
      <c r="F213" s="1" t="s">
        <v>4518</v>
      </c>
      <c r="G213" s="1" t="s">
        <v>4518</v>
      </c>
      <c r="H213" s="1" t="s">
        <v>4518</v>
      </c>
      <c r="I213" s="1" t="s">
        <v>4518</v>
      </c>
      <c r="J213" s="1" t="s">
        <v>4518</v>
      </c>
      <c r="K213" s="1" t="s">
        <v>4518</v>
      </c>
      <c r="L213" s="1" t="s">
        <v>4518</v>
      </c>
      <c r="M213" s="1" t="s">
        <v>4518</v>
      </c>
      <c r="N213" s="1" t="s">
        <v>5568</v>
      </c>
      <c r="O213" s="1" t="s">
        <v>4518</v>
      </c>
      <c r="P213" s="1" t="s">
        <v>4518</v>
      </c>
      <c r="Q213" s="1" t="s">
        <v>4518</v>
      </c>
    </row>
    <row r="214" spans="1:17" x14ac:dyDescent="0.2">
      <c r="A214" s="1" t="s">
        <v>5878</v>
      </c>
      <c r="B214" s="1" t="s">
        <v>5279</v>
      </c>
      <c r="C214" s="1" t="s">
        <v>5637</v>
      </c>
      <c r="D214" s="1" t="s">
        <v>5879</v>
      </c>
      <c r="E214" s="1" t="s">
        <v>52</v>
      </c>
      <c r="F214" s="1" t="s">
        <v>4518</v>
      </c>
      <c r="G214" s="1" t="s">
        <v>4518</v>
      </c>
      <c r="H214" s="1" t="s">
        <v>4518</v>
      </c>
      <c r="I214" s="1" t="s">
        <v>4518</v>
      </c>
      <c r="J214" s="1" t="s">
        <v>4518</v>
      </c>
      <c r="K214" s="1" t="s">
        <v>4518</v>
      </c>
      <c r="L214" s="1" t="s">
        <v>4518</v>
      </c>
      <c r="M214" s="1" t="s">
        <v>4518</v>
      </c>
      <c r="N214" s="1" t="s">
        <v>5568</v>
      </c>
      <c r="O214" s="1" t="s">
        <v>4518</v>
      </c>
      <c r="P214" s="1" t="s">
        <v>4518</v>
      </c>
      <c r="Q214" s="1" t="s">
        <v>4518</v>
      </c>
    </row>
    <row r="215" spans="1:17" x14ac:dyDescent="0.2">
      <c r="A215" s="1" t="s">
        <v>5880</v>
      </c>
      <c r="B215" s="1" t="s">
        <v>1200</v>
      </c>
      <c r="C215" s="1" t="s">
        <v>5637</v>
      </c>
      <c r="E215" s="1" t="s">
        <v>52</v>
      </c>
      <c r="F215" s="1" t="s">
        <v>4518</v>
      </c>
      <c r="G215" s="1" t="s">
        <v>4518</v>
      </c>
      <c r="H215" s="1" t="s">
        <v>4518</v>
      </c>
      <c r="I215" s="1" t="s">
        <v>4518</v>
      </c>
      <c r="J215" s="1" t="s">
        <v>4518</v>
      </c>
      <c r="K215" s="1" t="s">
        <v>4518</v>
      </c>
      <c r="L215" s="1" t="s">
        <v>4518</v>
      </c>
      <c r="M215" s="1" t="s">
        <v>4518</v>
      </c>
      <c r="N215" s="1" t="s">
        <v>5568</v>
      </c>
      <c r="O215" s="1" t="s">
        <v>4518</v>
      </c>
      <c r="P215" s="1" t="s">
        <v>4518</v>
      </c>
      <c r="Q215" s="1" t="s">
        <v>4518</v>
      </c>
    </row>
    <row r="216" spans="1:17" x14ac:dyDescent="0.2">
      <c r="C216" s="7" t="s">
        <v>5881</v>
      </c>
      <c r="F216" s="1" t="s">
        <v>4518</v>
      </c>
      <c r="G216" s="1" t="s">
        <v>4518</v>
      </c>
      <c r="H216" s="1" t="s">
        <v>4518</v>
      </c>
      <c r="I216" s="1" t="s">
        <v>4518</v>
      </c>
      <c r="J216" s="1" t="s">
        <v>4518</v>
      </c>
      <c r="K216" s="1" t="s">
        <v>4518</v>
      </c>
      <c r="L216" s="1" t="s">
        <v>4518</v>
      </c>
      <c r="M216" s="1" t="s">
        <v>4518</v>
      </c>
      <c r="N216" s="1" t="s">
        <v>4518</v>
      </c>
      <c r="O216" s="1" t="s">
        <v>4518</v>
      </c>
      <c r="P216" s="1" t="s">
        <v>4518</v>
      </c>
      <c r="Q216" s="1" t="s">
        <v>4518</v>
      </c>
    </row>
    <row r="217" spans="1:17" x14ac:dyDescent="0.2">
      <c r="A217" s="1" t="s">
        <v>5882</v>
      </c>
      <c r="B217" s="1" t="s">
        <v>189</v>
      </c>
      <c r="C217" s="1" t="s">
        <v>5637</v>
      </c>
      <c r="E217" s="1" t="s">
        <v>52</v>
      </c>
      <c r="F217" s="1" t="s">
        <v>4518</v>
      </c>
      <c r="G217" s="1" t="s">
        <v>4518</v>
      </c>
      <c r="H217" s="1" t="s">
        <v>4518</v>
      </c>
      <c r="I217" s="1" t="s">
        <v>4518</v>
      </c>
      <c r="J217" s="1" t="s">
        <v>4518</v>
      </c>
      <c r="K217" s="1" t="s">
        <v>4518</v>
      </c>
      <c r="L217" s="1" t="s">
        <v>4518</v>
      </c>
      <c r="M217" s="1" t="s">
        <v>4518</v>
      </c>
      <c r="N217" s="1" t="s">
        <v>5568</v>
      </c>
      <c r="O217" s="1" t="s">
        <v>4518</v>
      </c>
      <c r="P217" s="1" t="s">
        <v>4518</v>
      </c>
      <c r="Q217" s="1" t="s">
        <v>4518</v>
      </c>
    </row>
    <row r="218" spans="1:17" x14ac:dyDescent="0.2">
      <c r="C218" s="7" t="s">
        <v>5883</v>
      </c>
      <c r="F218" s="1" t="s">
        <v>4518</v>
      </c>
      <c r="G218" s="1" t="s">
        <v>4518</v>
      </c>
      <c r="H218" s="1" t="s">
        <v>4518</v>
      </c>
      <c r="I218" s="1" t="s">
        <v>4518</v>
      </c>
      <c r="J218" s="1" t="s">
        <v>4518</v>
      </c>
      <c r="K218" s="1" t="s">
        <v>4518</v>
      </c>
      <c r="L218" s="1" t="s">
        <v>4518</v>
      </c>
      <c r="M218" s="1" t="s">
        <v>4518</v>
      </c>
      <c r="N218" s="1" t="s">
        <v>4518</v>
      </c>
      <c r="O218" s="1" t="s">
        <v>4518</v>
      </c>
      <c r="P218" s="1" t="s">
        <v>4518</v>
      </c>
      <c r="Q218" s="1" t="s">
        <v>4518</v>
      </c>
    </row>
    <row r="219" spans="1:17" x14ac:dyDescent="0.2">
      <c r="A219" s="1" t="s">
        <v>5884</v>
      </c>
      <c r="B219" s="1" t="s">
        <v>1201</v>
      </c>
      <c r="C219" s="1" t="s">
        <v>5637</v>
      </c>
      <c r="E219" s="1" t="s">
        <v>52</v>
      </c>
      <c r="F219" s="1" t="s">
        <v>4518</v>
      </c>
      <c r="G219" s="1" t="s">
        <v>4518</v>
      </c>
      <c r="H219" s="1" t="s">
        <v>4518</v>
      </c>
      <c r="I219" s="1" t="s">
        <v>4518</v>
      </c>
      <c r="J219" s="1" t="s">
        <v>4518</v>
      </c>
      <c r="K219" s="1" t="s">
        <v>4518</v>
      </c>
      <c r="L219" s="1" t="s">
        <v>4518</v>
      </c>
      <c r="M219" s="1" t="s">
        <v>4518</v>
      </c>
      <c r="N219" s="1" t="s">
        <v>5568</v>
      </c>
      <c r="O219" s="1" t="s">
        <v>4518</v>
      </c>
      <c r="P219" s="1" t="s">
        <v>4518</v>
      </c>
      <c r="Q219" s="1" t="s">
        <v>4518</v>
      </c>
    </row>
    <row r="220" spans="1:17" x14ac:dyDescent="0.2">
      <c r="B220" s="7" t="s">
        <v>5885</v>
      </c>
      <c r="F220" s="1" t="s">
        <v>4518</v>
      </c>
      <c r="G220" s="1" t="s">
        <v>4518</v>
      </c>
      <c r="H220" s="1" t="s">
        <v>4518</v>
      </c>
      <c r="I220" s="1" t="s">
        <v>4518</v>
      </c>
      <c r="J220" s="1" t="s">
        <v>4518</v>
      </c>
      <c r="K220" s="1" t="s">
        <v>4518</v>
      </c>
      <c r="L220" s="1" t="s">
        <v>4518</v>
      </c>
      <c r="M220" s="1" t="s">
        <v>4518</v>
      </c>
      <c r="N220" s="1" t="s">
        <v>4518</v>
      </c>
      <c r="O220" s="1" t="s">
        <v>4518</v>
      </c>
      <c r="P220" s="1" t="s">
        <v>4518</v>
      </c>
      <c r="Q220" s="1" t="s">
        <v>4518</v>
      </c>
    </row>
    <row r="221" spans="1:17" x14ac:dyDescent="0.2">
      <c r="A221" s="1" t="s">
        <v>5886</v>
      </c>
      <c r="B221" s="1" t="s">
        <v>163</v>
      </c>
      <c r="C221" s="1" t="s">
        <v>5637</v>
      </c>
      <c r="D221" s="1" t="s">
        <v>5887</v>
      </c>
      <c r="E221" s="1" t="s">
        <v>7446</v>
      </c>
      <c r="F221" s="1" t="s">
        <v>5568</v>
      </c>
      <c r="G221" s="1" t="s">
        <v>5568</v>
      </c>
      <c r="H221" s="1" t="s">
        <v>4518</v>
      </c>
      <c r="I221" s="1" t="s">
        <v>4518</v>
      </c>
      <c r="J221" s="1" t="s">
        <v>5568</v>
      </c>
      <c r="K221" s="1" t="s">
        <v>4518</v>
      </c>
      <c r="L221" s="1" t="s">
        <v>4518</v>
      </c>
      <c r="M221" s="1" t="s">
        <v>4518</v>
      </c>
      <c r="N221" s="1" t="s">
        <v>4518</v>
      </c>
      <c r="O221" s="1" t="s">
        <v>4518</v>
      </c>
      <c r="P221" s="1" t="s">
        <v>4518</v>
      </c>
      <c r="Q221" s="1" t="s">
        <v>4518</v>
      </c>
    </row>
    <row r="222" spans="1:17" x14ac:dyDescent="0.2">
      <c r="A222" s="1" t="s">
        <v>7060</v>
      </c>
      <c r="B222" s="1" t="s">
        <v>164</v>
      </c>
      <c r="C222" s="1" t="s">
        <v>5637</v>
      </c>
      <c r="D222" s="1" t="s">
        <v>5888</v>
      </c>
      <c r="E222" s="1" t="s">
        <v>7443</v>
      </c>
      <c r="F222" s="1" t="s">
        <v>5568</v>
      </c>
      <c r="G222" s="1" t="s">
        <v>5568</v>
      </c>
      <c r="H222" s="1" t="s">
        <v>4518</v>
      </c>
      <c r="I222" s="1" t="s">
        <v>4518</v>
      </c>
      <c r="J222" s="1" t="s">
        <v>5568</v>
      </c>
      <c r="K222" s="1" t="s">
        <v>4518</v>
      </c>
      <c r="L222" s="1" t="s">
        <v>4518</v>
      </c>
      <c r="M222" s="1" t="s">
        <v>4518</v>
      </c>
      <c r="N222" s="1" t="s">
        <v>5568</v>
      </c>
      <c r="O222" s="1" t="s">
        <v>4518</v>
      </c>
      <c r="P222" s="1" t="s">
        <v>4518</v>
      </c>
      <c r="Q222" s="1" t="s">
        <v>4518</v>
      </c>
    </row>
    <row r="223" spans="1:17" x14ac:dyDescent="0.2">
      <c r="A223" s="1" t="s">
        <v>5889</v>
      </c>
      <c r="B223" s="1" t="s">
        <v>1148</v>
      </c>
      <c r="C223" s="1" t="s">
        <v>5637</v>
      </c>
      <c r="E223" s="1" t="s">
        <v>7443</v>
      </c>
      <c r="F223" s="1" t="s">
        <v>5568</v>
      </c>
      <c r="G223" s="1" t="s">
        <v>5568</v>
      </c>
      <c r="H223" s="1" t="s">
        <v>4518</v>
      </c>
      <c r="I223" s="1" t="s">
        <v>4518</v>
      </c>
      <c r="J223" s="1" t="s">
        <v>5568</v>
      </c>
      <c r="K223" s="1" t="s">
        <v>4518</v>
      </c>
      <c r="L223" s="1" t="s">
        <v>4518</v>
      </c>
      <c r="M223" s="1" t="s">
        <v>4518</v>
      </c>
      <c r="N223" s="1" t="s">
        <v>5568</v>
      </c>
      <c r="O223" s="1" t="s">
        <v>4518</v>
      </c>
      <c r="P223" s="1" t="s">
        <v>4518</v>
      </c>
      <c r="Q223" s="1" t="s">
        <v>4518</v>
      </c>
    </row>
    <row r="224" spans="1:17" x14ac:dyDescent="0.2">
      <c r="C224" s="7" t="s">
        <v>5890</v>
      </c>
      <c r="F224" s="1" t="s">
        <v>4518</v>
      </c>
      <c r="G224" s="1" t="s">
        <v>4518</v>
      </c>
      <c r="H224" s="1" t="s">
        <v>4518</v>
      </c>
      <c r="I224" s="1" t="s">
        <v>4518</v>
      </c>
      <c r="J224" s="1" t="s">
        <v>4518</v>
      </c>
      <c r="K224" s="1" t="s">
        <v>4518</v>
      </c>
      <c r="L224" s="1" t="s">
        <v>4518</v>
      </c>
      <c r="M224" s="1" t="s">
        <v>4518</v>
      </c>
      <c r="N224" s="1" t="s">
        <v>4518</v>
      </c>
      <c r="O224" s="1" t="s">
        <v>4518</v>
      </c>
      <c r="P224" s="1" t="s">
        <v>4518</v>
      </c>
      <c r="Q224" s="1" t="s">
        <v>4518</v>
      </c>
    </row>
    <row r="225" spans="1:17" x14ac:dyDescent="0.2">
      <c r="A225" s="1" t="s">
        <v>5891</v>
      </c>
      <c r="B225" s="1" t="s">
        <v>5892</v>
      </c>
      <c r="C225" s="1" t="s">
        <v>5637</v>
      </c>
      <c r="D225" s="1" t="s">
        <v>5893</v>
      </c>
      <c r="E225" s="1" t="s">
        <v>44</v>
      </c>
      <c r="F225" s="1" t="s">
        <v>4518</v>
      </c>
      <c r="G225" s="1" t="s">
        <v>4518</v>
      </c>
      <c r="H225" s="1" t="s">
        <v>4518</v>
      </c>
      <c r="I225" s="1" t="s">
        <v>4518</v>
      </c>
      <c r="J225" s="1" t="s">
        <v>5568</v>
      </c>
      <c r="K225" s="1" t="s">
        <v>4518</v>
      </c>
      <c r="L225" s="1" t="s">
        <v>4518</v>
      </c>
      <c r="M225" s="1" t="s">
        <v>4518</v>
      </c>
      <c r="N225" s="1" t="s">
        <v>4518</v>
      </c>
      <c r="O225" s="1" t="s">
        <v>4518</v>
      </c>
      <c r="P225" s="1" t="s">
        <v>4518</v>
      </c>
      <c r="Q225" s="1" t="s">
        <v>4518</v>
      </c>
    </row>
    <row r="226" spans="1:17" x14ac:dyDescent="0.2">
      <c r="A226" s="1" t="s">
        <v>7641</v>
      </c>
      <c r="B226" s="1" t="s">
        <v>7644</v>
      </c>
      <c r="C226" s="1" t="s">
        <v>5637</v>
      </c>
      <c r="D226" s="1" t="s">
        <v>7647</v>
      </c>
      <c r="E226" s="1" t="s">
        <v>36</v>
      </c>
      <c r="F226" s="1" t="s">
        <v>5568</v>
      </c>
      <c r="G226" s="1" t="s">
        <v>4518</v>
      </c>
      <c r="H226" s="1" t="s">
        <v>4518</v>
      </c>
      <c r="I226" s="1" t="s">
        <v>4518</v>
      </c>
      <c r="J226" s="1" t="s">
        <v>4518</v>
      </c>
      <c r="K226" s="1" t="s">
        <v>4518</v>
      </c>
      <c r="L226" s="1" t="s">
        <v>4518</v>
      </c>
      <c r="M226" s="1" t="s">
        <v>4518</v>
      </c>
      <c r="N226" s="1" t="s">
        <v>4518</v>
      </c>
      <c r="O226" s="1" t="s">
        <v>4518</v>
      </c>
      <c r="P226" s="1" t="s">
        <v>4518</v>
      </c>
      <c r="Q226" s="1" t="s">
        <v>4518</v>
      </c>
    </row>
    <row r="227" spans="1:17" x14ac:dyDescent="0.2">
      <c r="A227" s="1" t="s">
        <v>7642</v>
      </c>
      <c r="B227" s="1" t="s">
        <v>7645</v>
      </c>
      <c r="C227" s="1" t="s">
        <v>5637</v>
      </c>
      <c r="E227" s="1" t="s">
        <v>38</v>
      </c>
      <c r="F227" s="1" t="s">
        <v>4518</v>
      </c>
      <c r="G227" s="1" t="s">
        <v>5568</v>
      </c>
      <c r="H227" s="1" t="s">
        <v>4518</v>
      </c>
      <c r="I227" s="1" t="s">
        <v>4518</v>
      </c>
      <c r="J227" s="1" t="s">
        <v>4518</v>
      </c>
      <c r="K227" s="1" t="s">
        <v>4518</v>
      </c>
      <c r="L227" s="1" t="s">
        <v>4518</v>
      </c>
      <c r="M227" s="1" t="s">
        <v>4518</v>
      </c>
      <c r="N227" s="1" t="s">
        <v>4518</v>
      </c>
      <c r="O227" s="1" t="s">
        <v>4518</v>
      </c>
      <c r="P227" s="1" t="s">
        <v>4518</v>
      </c>
      <c r="Q227" s="1" t="s">
        <v>4518</v>
      </c>
    </row>
    <row r="228" spans="1:17" x14ac:dyDescent="0.2">
      <c r="A228" s="1" t="s">
        <v>7643</v>
      </c>
      <c r="B228" s="1" t="s">
        <v>7646</v>
      </c>
      <c r="C228" s="1" t="s">
        <v>5637</v>
      </c>
      <c r="E228" s="1" t="s">
        <v>38</v>
      </c>
      <c r="F228" s="1" t="s">
        <v>4518</v>
      </c>
      <c r="G228" s="1" t="s">
        <v>5568</v>
      </c>
      <c r="H228" s="1" t="s">
        <v>4518</v>
      </c>
      <c r="I228" s="1" t="s">
        <v>4518</v>
      </c>
      <c r="J228" s="1" t="s">
        <v>4518</v>
      </c>
      <c r="K228" s="1" t="s">
        <v>4518</v>
      </c>
      <c r="L228" s="1" t="s">
        <v>4518</v>
      </c>
      <c r="M228" s="1" t="s">
        <v>4518</v>
      </c>
      <c r="N228" s="1" t="s">
        <v>4518</v>
      </c>
      <c r="O228" s="1" t="s">
        <v>4518</v>
      </c>
      <c r="P228" s="1" t="s">
        <v>4518</v>
      </c>
      <c r="Q228" s="1" t="s">
        <v>4518</v>
      </c>
    </row>
    <row r="229" spans="1:17" x14ac:dyDescent="0.2">
      <c r="D229" s="7" t="s">
        <v>5894</v>
      </c>
      <c r="F229" s="1" t="s">
        <v>4518</v>
      </c>
      <c r="G229" s="1" t="s">
        <v>4518</v>
      </c>
      <c r="H229" s="1" t="s">
        <v>4518</v>
      </c>
      <c r="I229" s="1" t="s">
        <v>4518</v>
      </c>
      <c r="J229" s="1" t="s">
        <v>4518</v>
      </c>
      <c r="K229" s="1" t="s">
        <v>4518</v>
      </c>
      <c r="L229" s="1" t="s">
        <v>4518</v>
      </c>
      <c r="M229" s="1" t="s">
        <v>4518</v>
      </c>
      <c r="N229" s="1" t="s">
        <v>4518</v>
      </c>
      <c r="O229" s="1" t="s">
        <v>4518</v>
      </c>
      <c r="P229" s="1" t="s">
        <v>4518</v>
      </c>
      <c r="Q229" s="1" t="s">
        <v>4518</v>
      </c>
    </row>
    <row r="230" spans="1:17" x14ac:dyDescent="0.2">
      <c r="A230" s="1" t="s">
        <v>5895</v>
      </c>
      <c r="B230" s="1" t="s">
        <v>181</v>
      </c>
      <c r="C230" s="1" t="s">
        <v>5637</v>
      </c>
      <c r="D230" s="1" t="s">
        <v>5896</v>
      </c>
      <c r="E230" s="1" t="s">
        <v>38</v>
      </c>
      <c r="F230" s="1" t="s">
        <v>4518</v>
      </c>
      <c r="G230" s="1" t="s">
        <v>5568</v>
      </c>
      <c r="H230" s="1" t="s">
        <v>4518</v>
      </c>
      <c r="I230" s="1" t="s">
        <v>4518</v>
      </c>
      <c r="J230" s="1" t="s">
        <v>4518</v>
      </c>
      <c r="K230" s="1" t="s">
        <v>4518</v>
      </c>
      <c r="L230" s="1" t="s">
        <v>4518</v>
      </c>
      <c r="M230" s="1" t="s">
        <v>4518</v>
      </c>
      <c r="N230" s="1" t="s">
        <v>4518</v>
      </c>
      <c r="O230" s="1" t="s">
        <v>4518</v>
      </c>
      <c r="P230" s="1" t="s">
        <v>4518</v>
      </c>
      <c r="Q230" s="1" t="s">
        <v>4518</v>
      </c>
    </row>
    <row r="231" spans="1:17" x14ac:dyDescent="0.2">
      <c r="D231" s="7" t="s">
        <v>5897</v>
      </c>
      <c r="F231" s="1" t="s">
        <v>4518</v>
      </c>
      <c r="G231" s="1" t="s">
        <v>4518</v>
      </c>
      <c r="H231" s="1" t="s">
        <v>4518</v>
      </c>
      <c r="I231" s="1" t="s">
        <v>4518</v>
      </c>
      <c r="J231" s="1" t="s">
        <v>4518</v>
      </c>
      <c r="K231" s="1" t="s">
        <v>4518</v>
      </c>
      <c r="L231" s="1" t="s">
        <v>4518</v>
      </c>
      <c r="M231" s="1" t="s">
        <v>4518</v>
      </c>
      <c r="N231" s="1" t="s">
        <v>4518</v>
      </c>
      <c r="O231" s="1" t="s">
        <v>4518</v>
      </c>
      <c r="P231" s="1" t="s">
        <v>4518</v>
      </c>
      <c r="Q231" s="1" t="s">
        <v>4518</v>
      </c>
    </row>
    <row r="232" spans="1:17" x14ac:dyDescent="0.2">
      <c r="A232" s="1" t="s">
        <v>5898</v>
      </c>
      <c r="B232" s="1" t="s">
        <v>5899</v>
      </c>
      <c r="C232" s="1" t="s">
        <v>5637</v>
      </c>
      <c r="E232" s="1" t="s">
        <v>7447</v>
      </c>
      <c r="F232" s="1" t="s">
        <v>5568</v>
      </c>
      <c r="G232" s="1" t="s">
        <v>5568</v>
      </c>
      <c r="H232" s="1" t="s">
        <v>4518</v>
      </c>
      <c r="I232" s="1" t="s">
        <v>4518</v>
      </c>
      <c r="J232" s="1" t="s">
        <v>4518</v>
      </c>
      <c r="K232" s="1" t="s">
        <v>4518</v>
      </c>
      <c r="L232" s="1" t="s">
        <v>4518</v>
      </c>
      <c r="M232" s="1" t="s">
        <v>4518</v>
      </c>
      <c r="N232" s="1" t="s">
        <v>5568</v>
      </c>
      <c r="O232" s="1" t="s">
        <v>4518</v>
      </c>
      <c r="P232" s="1" t="s">
        <v>4518</v>
      </c>
      <c r="Q232" s="1" t="s">
        <v>4518</v>
      </c>
    </row>
    <row r="233" spans="1:17" x14ac:dyDescent="0.2">
      <c r="C233" s="7" t="s">
        <v>5900</v>
      </c>
      <c r="F233" s="1" t="s">
        <v>4518</v>
      </c>
      <c r="G233" s="1" t="s">
        <v>4518</v>
      </c>
      <c r="H233" s="1" t="s">
        <v>4518</v>
      </c>
      <c r="I233" s="1" t="s">
        <v>4518</v>
      </c>
      <c r="J233" s="1" t="s">
        <v>4518</v>
      </c>
      <c r="K233" s="1" t="s">
        <v>4518</v>
      </c>
      <c r="L233" s="1" t="s">
        <v>4518</v>
      </c>
      <c r="M233" s="1" t="s">
        <v>4518</v>
      </c>
      <c r="N233" s="1" t="s">
        <v>4518</v>
      </c>
      <c r="O233" s="1" t="s">
        <v>4518</v>
      </c>
      <c r="P233" s="1" t="s">
        <v>4518</v>
      </c>
      <c r="Q233" s="1" t="s">
        <v>4518</v>
      </c>
    </row>
    <row r="234" spans="1:17" x14ac:dyDescent="0.2">
      <c r="A234" s="1" t="s">
        <v>5901</v>
      </c>
      <c r="B234" s="1" t="s">
        <v>165</v>
      </c>
      <c r="C234" s="1" t="s">
        <v>5637</v>
      </c>
      <c r="E234" s="1" t="s">
        <v>36</v>
      </c>
      <c r="F234" s="1" t="s">
        <v>5568</v>
      </c>
      <c r="G234" s="1" t="s">
        <v>4518</v>
      </c>
      <c r="H234" s="1" t="s">
        <v>4518</v>
      </c>
      <c r="I234" s="1" t="s">
        <v>4518</v>
      </c>
      <c r="J234" s="1" t="s">
        <v>4518</v>
      </c>
      <c r="K234" s="1" t="s">
        <v>4518</v>
      </c>
      <c r="L234" s="1" t="s">
        <v>4518</v>
      </c>
      <c r="M234" s="1" t="s">
        <v>4518</v>
      </c>
      <c r="N234" s="1" t="s">
        <v>4518</v>
      </c>
      <c r="O234" s="1" t="s">
        <v>4518</v>
      </c>
      <c r="P234" s="1" t="s">
        <v>4518</v>
      </c>
      <c r="Q234" s="1" t="s">
        <v>4518</v>
      </c>
    </row>
    <row r="235" spans="1:17" x14ac:dyDescent="0.2">
      <c r="A235" s="1" t="s">
        <v>5902</v>
      </c>
      <c r="B235" s="1" t="s">
        <v>1149</v>
      </c>
      <c r="C235" s="1" t="s">
        <v>5637</v>
      </c>
      <c r="E235" s="1" t="s">
        <v>52</v>
      </c>
      <c r="F235" s="1" t="s">
        <v>4518</v>
      </c>
      <c r="G235" s="1" t="s">
        <v>4518</v>
      </c>
      <c r="H235" s="1" t="s">
        <v>4518</v>
      </c>
      <c r="I235" s="1" t="s">
        <v>4518</v>
      </c>
      <c r="J235" s="1" t="s">
        <v>4518</v>
      </c>
      <c r="K235" s="1" t="s">
        <v>4518</v>
      </c>
      <c r="L235" s="1" t="s">
        <v>4518</v>
      </c>
      <c r="M235" s="1" t="s">
        <v>4518</v>
      </c>
      <c r="N235" s="1" t="s">
        <v>5568</v>
      </c>
      <c r="O235" s="1" t="s">
        <v>4518</v>
      </c>
      <c r="P235" s="1" t="s">
        <v>4518</v>
      </c>
      <c r="Q235" s="1" t="s">
        <v>4518</v>
      </c>
    </row>
    <row r="236" spans="1:17" x14ac:dyDescent="0.2">
      <c r="A236" s="1" t="s">
        <v>7460</v>
      </c>
      <c r="B236" s="1" t="s">
        <v>7462</v>
      </c>
      <c r="C236" s="1" t="s">
        <v>5637</v>
      </c>
      <c r="E236" s="1" t="s">
        <v>38</v>
      </c>
      <c r="F236" s="1" t="s">
        <v>4518</v>
      </c>
      <c r="G236" s="1" t="s">
        <v>5568</v>
      </c>
      <c r="H236" s="1" t="s">
        <v>4518</v>
      </c>
      <c r="I236" s="1" t="s">
        <v>4518</v>
      </c>
      <c r="J236" s="1" t="s">
        <v>4518</v>
      </c>
      <c r="K236" s="1" t="s">
        <v>4518</v>
      </c>
      <c r="L236" s="1" t="s">
        <v>4518</v>
      </c>
      <c r="M236" s="1" t="s">
        <v>4518</v>
      </c>
      <c r="N236" s="1" t="s">
        <v>4518</v>
      </c>
      <c r="O236" s="1" t="s">
        <v>4518</v>
      </c>
      <c r="P236" s="1" t="s">
        <v>4518</v>
      </c>
      <c r="Q236" s="1" t="s">
        <v>4518</v>
      </c>
    </row>
    <row r="237" spans="1:17" x14ac:dyDescent="0.2">
      <c r="A237" s="1" t="s">
        <v>7463</v>
      </c>
      <c r="B237" s="1" t="s">
        <v>7465</v>
      </c>
      <c r="C237" s="1" t="s">
        <v>5637</v>
      </c>
      <c r="E237" s="1" t="s">
        <v>38</v>
      </c>
      <c r="F237" s="1" t="s">
        <v>4518</v>
      </c>
      <c r="G237" s="1" t="s">
        <v>5568</v>
      </c>
      <c r="H237" s="1" t="s">
        <v>4518</v>
      </c>
      <c r="I237" s="1" t="s">
        <v>4518</v>
      </c>
      <c r="J237" s="1" t="s">
        <v>4518</v>
      </c>
      <c r="K237" s="1" t="s">
        <v>4518</v>
      </c>
      <c r="L237" s="1" t="s">
        <v>4518</v>
      </c>
      <c r="M237" s="1" t="s">
        <v>4518</v>
      </c>
      <c r="N237" s="1" t="s">
        <v>4518</v>
      </c>
      <c r="O237" s="1" t="s">
        <v>4518</v>
      </c>
      <c r="P237" s="1" t="s">
        <v>4518</v>
      </c>
      <c r="Q237" s="1" t="s">
        <v>4518</v>
      </c>
    </row>
    <row r="238" spans="1:17" x14ac:dyDescent="0.2">
      <c r="A238" s="1" t="s">
        <v>7632</v>
      </c>
      <c r="B238" s="1" t="s">
        <v>7633</v>
      </c>
      <c r="C238" s="1" t="s">
        <v>5637</v>
      </c>
      <c r="D238" s="1" t="s">
        <v>7637</v>
      </c>
      <c r="E238" s="1" t="s">
        <v>38</v>
      </c>
      <c r="F238" s="1" t="s">
        <v>4518</v>
      </c>
      <c r="G238" s="1" t="s">
        <v>5568</v>
      </c>
      <c r="H238" s="1" t="s">
        <v>4518</v>
      </c>
      <c r="I238" s="1" t="s">
        <v>4518</v>
      </c>
      <c r="J238" s="1" t="s">
        <v>4518</v>
      </c>
      <c r="K238" s="1" t="s">
        <v>4518</v>
      </c>
      <c r="L238" s="1" t="s">
        <v>4518</v>
      </c>
      <c r="M238" s="1" t="s">
        <v>4518</v>
      </c>
      <c r="N238" s="1" t="s">
        <v>4518</v>
      </c>
      <c r="O238" s="1" t="s">
        <v>4518</v>
      </c>
      <c r="P238" s="1" t="s">
        <v>4518</v>
      </c>
      <c r="Q238" s="1" t="s">
        <v>4518</v>
      </c>
    </row>
    <row r="239" spans="1:17" x14ac:dyDescent="0.2">
      <c r="A239" s="1" t="s">
        <v>7634</v>
      </c>
      <c r="B239" s="1" t="s">
        <v>7635</v>
      </c>
      <c r="C239" s="1" t="s">
        <v>5637</v>
      </c>
      <c r="D239" s="1" t="s">
        <v>7636</v>
      </c>
      <c r="E239" s="1" t="s">
        <v>36</v>
      </c>
      <c r="F239" s="1" t="s">
        <v>5568</v>
      </c>
      <c r="G239" s="1" t="s">
        <v>4518</v>
      </c>
      <c r="H239" s="1" t="s">
        <v>4518</v>
      </c>
      <c r="I239" s="1" t="s">
        <v>4518</v>
      </c>
      <c r="J239" s="1" t="s">
        <v>4518</v>
      </c>
      <c r="K239" s="1" t="s">
        <v>4518</v>
      </c>
      <c r="L239" s="1" t="s">
        <v>4518</v>
      </c>
      <c r="M239" s="1" t="s">
        <v>4518</v>
      </c>
      <c r="N239" s="1" t="s">
        <v>4518</v>
      </c>
      <c r="O239" s="1" t="s">
        <v>4518</v>
      </c>
      <c r="P239" s="1" t="s">
        <v>4518</v>
      </c>
      <c r="Q239" s="1" t="s">
        <v>4518</v>
      </c>
    </row>
    <row r="240" spans="1:17" x14ac:dyDescent="0.2">
      <c r="A240" s="1" t="s">
        <v>7638</v>
      </c>
      <c r="B240" s="1" t="s">
        <v>7639</v>
      </c>
      <c r="C240" s="1" t="s">
        <v>5637</v>
      </c>
      <c r="D240" s="1" t="s">
        <v>7640</v>
      </c>
      <c r="E240" s="1" t="s">
        <v>38</v>
      </c>
      <c r="F240" s="1" t="s">
        <v>4518</v>
      </c>
      <c r="G240" s="1" t="s">
        <v>5568</v>
      </c>
      <c r="H240" s="1" t="s">
        <v>4518</v>
      </c>
      <c r="I240" s="1" t="s">
        <v>4518</v>
      </c>
      <c r="J240" s="1" t="s">
        <v>4518</v>
      </c>
      <c r="K240" s="1" t="s">
        <v>4518</v>
      </c>
      <c r="L240" s="1" t="s">
        <v>4518</v>
      </c>
      <c r="M240" s="1" t="s">
        <v>4518</v>
      </c>
      <c r="N240" s="1" t="s">
        <v>4518</v>
      </c>
      <c r="O240" s="1" t="s">
        <v>4518</v>
      </c>
      <c r="P240" s="1" t="s">
        <v>4518</v>
      </c>
      <c r="Q240" s="1" t="s">
        <v>4518</v>
      </c>
    </row>
    <row r="241" spans="1:17" x14ac:dyDescent="0.2">
      <c r="D241" s="7" t="s">
        <v>5903</v>
      </c>
      <c r="F241" s="1" t="s">
        <v>4518</v>
      </c>
      <c r="G241" s="1" t="s">
        <v>4518</v>
      </c>
      <c r="H241" s="1" t="s">
        <v>4518</v>
      </c>
      <c r="I241" s="1" t="s">
        <v>4518</v>
      </c>
      <c r="J241" s="1" t="s">
        <v>4518</v>
      </c>
      <c r="K241" s="1" t="s">
        <v>4518</v>
      </c>
      <c r="L241" s="1" t="s">
        <v>4518</v>
      </c>
      <c r="M241" s="1" t="s">
        <v>4518</v>
      </c>
      <c r="N241" s="1" t="s">
        <v>4518</v>
      </c>
      <c r="O241" s="1" t="s">
        <v>4518</v>
      </c>
      <c r="P241" s="1" t="s">
        <v>4518</v>
      </c>
      <c r="Q241" s="1" t="s">
        <v>4518</v>
      </c>
    </row>
    <row r="242" spans="1:17" x14ac:dyDescent="0.2">
      <c r="A242" s="1" t="s">
        <v>5904</v>
      </c>
      <c r="B242" s="1" t="s">
        <v>281</v>
      </c>
      <c r="C242" s="1" t="s">
        <v>5637</v>
      </c>
      <c r="D242" s="1" t="s">
        <v>5905</v>
      </c>
      <c r="E242" s="1" t="s">
        <v>7446</v>
      </c>
      <c r="F242" s="1" t="s">
        <v>5568</v>
      </c>
      <c r="G242" s="1" t="s">
        <v>5568</v>
      </c>
      <c r="H242" s="1" t="s">
        <v>4518</v>
      </c>
      <c r="I242" s="1" t="s">
        <v>4518</v>
      </c>
      <c r="J242" s="1" t="s">
        <v>5568</v>
      </c>
      <c r="K242" s="1" t="s">
        <v>4518</v>
      </c>
      <c r="L242" s="1" t="s">
        <v>4518</v>
      </c>
      <c r="M242" s="1" t="s">
        <v>4518</v>
      </c>
      <c r="N242" s="1" t="s">
        <v>4518</v>
      </c>
      <c r="O242" s="1" t="s">
        <v>4518</v>
      </c>
      <c r="P242" s="1" t="s">
        <v>4518</v>
      </c>
      <c r="Q242" s="1" t="s">
        <v>4518</v>
      </c>
    </row>
    <row r="243" spans="1:17" x14ac:dyDescent="0.2">
      <c r="A243" s="1" t="s">
        <v>5906</v>
      </c>
      <c r="B243" s="1" t="s">
        <v>166</v>
      </c>
      <c r="C243" s="1" t="s">
        <v>5637</v>
      </c>
      <c r="D243" s="1" t="s">
        <v>5907</v>
      </c>
      <c r="E243" s="1" t="s">
        <v>7445</v>
      </c>
      <c r="F243" s="1" t="s">
        <v>4518</v>
      </c>
      <c r="G243" s="1" t="s">
        <v>5568</v>
      </c>
      <c r="H243" s="1" t="s">
        <v>4518</v>
      </c>
      <c r="I243" s="1" t="s">
        <v>4518</v>
      </c>
      <c r="J243" s="1" t="s">
        <v>5568</v>
      </c>
      <c r="K243" s="1" t="s">
        <v>4518</v>
      </c>
      <c r="L243" s="1" t="s">
        <v>4518</v>
      </c>
      <c r="M243" s="1" t="s">
        <v>4518</v>
      </c>
      <c r="N243" s="1" t="s">
        <v>5568</v>
      </c>
      <c r="O243" s="1" t="s">
        <v>4518</v>
      </c>
      <c r="P243" s="1" t="s">
        <v>4518</v>
      </c>
      <c r="Q243" s="1" t="s">
        <v>4518</v>
      </c>
    </row>
    <row r="244" spans="1:17" x14ac:dyDescent="0.2">
      <c r="A244" s="1" t="s">
        <v>7618</v>
      </c>
      <c r="B244" s="1" t="s">
        <v>7182</v>
      </c>
      <c r="C244" s="1" t="s">
        <v>5637</v>
      </c>
      <c r="D244" s="1" t="s">
        <v>7619</v>
      </c>
      <c r="E244" s="1" t="s">
        <v>36</v>
      </c>
      <c r="F244" s="1" t="s">
        <v>5568</v>
      </c>
      <c r="G244" s="1" t="s">
        <v>4518</v>
      </c>
      <c r="H244" s="1" t="s">
        <v>4518</v>
      </c>
      <c r="I244" s="1" t="s">
        <v>4518</v>
      </c>
      <c r="J244" s="1" t="s">
        <v>4518</v>
      </c>
      <c r="K244" s="1" t="s">
        <v>4518</v>
      </c>
      <c r="L244" s="1" t="s">
        <v>4518</v>
      </c>
      <c r="M244" s="1" t="s">
        <v>4518</v>
      </c>
      <c r="N244" s="1" t="s">
        <v>4518</v>
      </c>
      <c r="O244" s="1" t="s">
        <v>4518</v>
      </c>
      <c r="P244" s="1" t="s">
        <v>4518</v>
      </c>
      <c r="Q244" s="1" t="s">
        <v>4518</v>
      </c>
    </row>
    <row r="245" spans="1:17" x14ac:dyDescent="0.2">
      <c r="A245" s="1" t="s">
        <v>7620</v>
      </c>
      <c r="B245" s="1" t="s">
        <v>7026</v>
      </c>
      <c r="C245" s="1" t="s">
        <v>5637</v>
      </c>
      <c r="D245" s="1" t="s">
        <v>7621</v>
      </c>
      <c r="E245" s="1" t="s">
        <v>7448</v>
      </c>
      <c r="F245" s="1" t="s">
        <v>5568</v>
      </c>
      <c r="G245" s="1" t="s">
        <v>5568</v>
      </c>
      <c r="H245" s="1" t="s">
        <v>4518</v>
      </c>
      <c r="I245" s="1" t="s">
        <v>4518</v>
      </c>
      <c r="J245" s="1" t="s">
        <v>4518</v>
      </c>
      <c r="K245" s="1" t="s">
        <v>4518</v>
      </c>
      <c r="L245" s="1" t="s">
        <v>4518</v>
      </c>
      <c r="M245" s="1" t="s">
        <v>4518</v>
      </c>
      <c r="N245" s="1" t="s">
        <v>4518</v>
      </c>
      <c r="O245" s="1" t="s">
        <v>4518</v>
      </c>
      <c r="P245" s="1" t="s">
        <v>4518</v>
      </c>
      <c r="Q245" s="1" t="s">
        <v>4518</v>
      </c>
    </row>
    <row r="246" spans="1:17" x14ac:dyDescent="0.2">
      <c r="A246" s="1" t="s">
        <v>7622</v>
      </c>
      <c r="B246" s="1" t="s">
        <v>7027</v>
      </c>
      <c r="C246" s="1" t="s">
        <v>5637</v>
      </c>
      <c r="D246" s="1" t="s">
        <v>7623</v>
      </c>
      <c r="E246" s="1" t="s">
        <v>7448</v>
      </c>
      <c r="F246" s="1" t="s">
        <v>5568</v>
      </c>
      <c r="G246" s="1" t="s">
        <v>5568</v>
      </c>
      <c r="H246" s="1" t="s">
        <v>4518</v>
      </c>
      <c r="I246" s="1" t="s">
        <v>4518</v>
      </c>
      <c r="J246" s="1" t="s">
        <v>4518</v>
      </c>
      <c r="K246" s="1" t="s">
        <v>4518</v>
      </c>
      <c r="L246" s="1" t="s">
        <v>4518</v>
      </c>
      <c r="M246" s="1" t="s">
        <v>4518</v>
      </c>
      <c r="N246" s="1" t="s">
        <v>4518</v>
      </c>
      <c r="O246" s="1" t="s">
        <v>4518</v>
      </c>
      <c r="P246" s="1" t="s">
        <v>4518</v>
      </c>
      <c r="Q246" s="1" t="s">
        <v>4518</v>
      </c>
    </row>
    <row r="247" spans="1:17" x14ac:dyDescent="0.2">
      <c r="A247" s="1" t="s">
        <v>7624</v>
      </c>
      <c r="B247" s="1" t="s">
        <v>6798</v>
      </c>
      <c r="C247" s="1" t="s">
        <v>5637</v>
      </c>
      <c r="D247" s="1" t="s">
        <v>7625</v>
      </c>
      <c r="E247" s="1" t="s">
        <v>36</v>
      </c>
      <c r="F247" s="1" t="s">
        <v>5568</v>
      </c>
      <c r="G247" s="1" t="s">
        <v>4518</v>
      </c>
      <c r="H247" s="1" t="s">
        <v>4518</v>
      </c>
      <c r="I247" s="1" t="s">
        <v>4518</v>
      </c>
      <c r="J247" s="1" t="s">
        <v>4518</v>
      </c>
      <c r="K247" s="1" t="s">
        <v>4518</v>
      </c>
      <c r="L247" s="1" t="s">
        <v>4518</v>
      </c>
      <c r="M247" s="1" t="s">
        <v>4518</v>
      </c>
      <c r="N247" s="1" t="s">
        <v>4518</v>
      </c>
      <c r="O247" s="1" t="s">
        <v>4518</v>
      </c>
      <c r="P247" s="1" t="s">
        <v>4518</v>
      </c>
      <c r="Q247" s="1" t="s">
        <v>4518</v>
      </c>
    </row>
    <row r="248" spans="1:17" x14ac:dyDescent="0.2">
      <c r="A248" s="1" t="s">
        <v>5908</v>
      </c>
      <c r="B248" s="1" t="s">
        <v>167</v>
      </c>
      <c r="C248" s="1" t="s">
        <v>5637</v>
      </c>
      <c r="E248" s="1" t="s">
        <v>7446</v>
      </c>
      <c r="F248" s="1" t="s">
        <v>5568</v>
      </c>
      <c r="G248" s="1" t="s">
        <v>5568</v>
      </c>
      <c r="H248" s="1" t="s">
        <v>4518</v>
      </c>
      <c r="I248" s="1" t="s">
        <v>4518</v>
      </c>
      <c r="J248" s="1" t="s">
        <v>5568</v>
      </c>
      <c r="K248" s="1" t="s">
        <v>4518</v>
      </c>
      <c r="L248" s="1" t="s">
        <v>4518</v>
      </c>
      <c r="M248" s="1" t="s">
        <v>4518</v>
      </c>
      <c r="N248" s="1" t="s">
        <v>4518</v>
      </c>
      <c r="O248" s="1" t="s">
        <v>4518</v>
      </c>
      <c r="P248" s="1" t="s">
        <v>4518</v>
      </c>
      <c r="Q248" s="1" t="s">
        <v>4518</v>
      </c>
    </row>
    <row r="249" spans="1:17" x14ac:dyDescent="0.2">
      <c r="B249" s="7" t="s">
        <v>7628</v>
      </c>
      <c r="F249" s="1" t="s">
        <v>4518</v>
      </c>
      <c r="G249" s="1" t="s">
        <v>4518</v>
      </c>
      <c r="H249" s="1" t="s">
        <v>4518</v>
      </c>
      <c r="I249" s="1" t="s">
        <v>4518</v>
      </c>
      <c r="J249" s="1" t="s">
        <v>4518</v>
      </c>
      <c r="K249" s="1" t="s">
        <v>4518</v>
      </c>
      <c r="L249" s="1" t="s">
        <v>4518</v>
      </c>
      <c r="M249" s="1" t="s">
        <v>4518</v>
      </c>
      <c r="N249" s="1" t="s">
        <v>4518</v>
      </c>
      <c r="O249" s="1" t="s">
        <v>4518</v>
      </c>
      <c r="P249" s="1" t="s">
        <v>4518</v>
      </c>
      <c r="Q249" s="1" t="s">
        <v>4518</v>
      </c>
    </row>
    <row r="250" spans="1:17" x14ac:dyDescent="0.2">
      <c r="A250" s="1" t="s">
        <v>7614</v>
      </c>
      <c r="B250" s="1" t="s">
        <v>7249</v>
      </c>
      <c r="C250" s="1" t="s">
        <v>5637</v>
      </c>
      <c r="E250" s="1" t="s">
        <v>36</v>
      </c>
      <c r="F250" s="1" t="s">
        <v>5568</v>
      </c>
      <c r="G250" s="1" t="s">
        <v>4518</v>
      </c>
      <c r="H250" s="1" t="s">
        <v>4518</v>
      </c>
      <c r="I250" s="1" t="s">
        <v>4518</v>
      </c>
      <c r="J250" s="1" t="s">
        <v>4518</v>
      </c>
      <c r="K250" s="1" t="s">
        <v>4518</v>
      </c>
      <c r="L250" s="1" t="s">
        <v>4518</v>
      </c>
      <c r="M250" s="1" t="s">
        <v>4518</v>
      </c>
      <c r="N250" s="1" t="s">
        <v>4518</v>
      </c>
      <c r="O250" s="1" t="s">
        <v>4518</v>
      </c>
      <c r="P250" s="1" t="s">
        <v>4518</v>
      </c>
      <c r="Q250" s="1" t="s">
        <v>4518</v>
      </c>
    </row>
    <row r="251" spans="1:17" x14ac:dyDescent="0.2">
      <c r="A251" s="1" t="s">
        <v>7627</v>
      </c>
      <c r="B251" s="1" t="s">
        <v>7252</v>
      </c>
      <c r="C251" s="1" t="s">
        <v>5637</v>
      </c>
      <c r="E251" s="1" t="s">
        <v>36</v>
      </c>
      <c r="F251" s="1" t="s">
        <v>5568</v>
      </c>
      <c r="G251" s="1" t="s">
        <v>4518</v>
      </c>
      <c r="H251" s="1" t="s">
        <v>4518</v>
      </c>
      <c r="I251" s="1" t="s">
        <v>4518</v>
      </c>
      <c r="J251" s="1" t="s">
        <v>4518</v>
      </c>
      <c r="K251" s="1" t="s">
        <v>4518</v>
      </c>
      <c r="L251" s="1" t="s">
        <v>4518</v>
      </c>
      <c r="M251" s="1" t="s">
        <v>4518</v>
      </c>
      <c r="N251" s="1" t="s">
        <v>4518</v>
      </c>
      <c r="O251" s="1" t="s">
        <v>4518</v>
      </c>
      <c r="P251" s="1" t="s">
        <v>4518</v>
      </c>
      <c r="Q251" s="1" t="s">
        <v>4518</v>
      </c>
    </row>
    <row r="252" spans="1:17" x14ac:dyDescent="0.2">
      <c r="B252" s="7" t="s">
        <v>156</v>
      </c>
      <c r="F252" s="1" t="s">
        <v>4518</v>
      </c>
      <c r="G252" s="1" t="s">
        <v>4518</v>
      </c>
      <c r="H252" s="1" t="s">
        <v>4518</v>
      </c>
      <c r="I252" s="1" t="s">
        <v>4518</v>
      </c>
      <c r="J252" s="1" t="s">
        <v>4518</v>
      </c>
      <c r="K252" s="1" t="s">
        <v>4518</v>
      </c>
      <c r="L252" s="1" t="s">
        <v>4518</v>
      </c>
      <c r="M252" s="1" t="s">
        <v>4518</v>
      </c>
      <c r="N252" s="1" t="s">
        <v>4518</v>
      </c>
      <c r="O252" s="1" t="s">
        <v>4518</v>
      </c>
      <c r="P252" s="1" t="s">
        <v>4518</v>
      </c>
      <c r="Q252" s="1" t="s">
        <v>4518</v>
      </c>
    </row>
    <row r="253" spans="1:17" x14ac:dyDescent="0.2">
      <c r="A253" s="1" t="s">
        <v>5909</v>
      </c>
      <c r="B253" s="1" t="s">
        <v>156</v>
      </c>
      <c r="C253" s="1" t="s">
        <v>5637</v>
      </c>
      <c r="D253" s="1" t="s">
        <v>5910</v>
      </c>
      <c r="E253" s="1" t="s">
        <v>7444</v>
      </c>
      <c r="F253" s="1" t="s">
        <v>5568</v>
      </c>
      <c r="G253" s="1" t="s">
        <v>5568</v>
      </c>
      <c r="H253" s="1" t="s">
        <v>5568</v>
      </c>
      <c r="I253" s="1" t="s">
        <v>5568</v>
      </c>
      <c r="J253" s="1" t="s">
        <v>5568</v>
      </c>
      <c r="K253" s="1" t="s">
        <v>5568</v>
      </c>
      <c r="L253" s="1" t="s">
        <v>5568</v>
      </c>
      <c r="M253" s="1" t="s">
        <v>5568</v>
      </c>
      <c r="N253" s="1" t="s">
        <v>5568</v>
      </c>
      <c r="O253" s="1" t="s">
        <v>4518</v>
      </c>
      <c r="P253" s="1" t="s">
        <v>4518</v>
      </c>
      <c r="Q253" s="1" t="s">
        <v>5568</v>
      </c>
    </row>
    <row r="254" spans="1:17" x14ac:dyDescent="0.2">
      <c r="A254" s="1" t="s">
        <v>5911</v>
      </c>
      <c r="B254" s="1" t="s">
        <v>275</v>
      </c>
      <c r="C254" s="1" t="s">
        <v>5637</v>
      </c>
      <c r="E254" s="1" t="s">
        <v>5586</v>
      </c>
      <c r="F254" s="1" t="s">
        <v>5568</v>
      </c>
      <c r="G254" s="1" t="s">
        <v>4518</v>
      </c>
      <c r="H254" s="1" t="s">
        <v>4518</v>
      </c>
      <c r="I254" s="1" t="s">
        <v>4518</v>
      </c>
      <c r="J254" s="1" t="s">
        <v>5568</v>
      </c>
      <c r="K254" s="1" t="s">
        <v>4518</v>
      </c>
      <c r="L254" s="1" t="s">
        <v>4518</v>
      </c>
      <c r="M254" s="1" t="s">
        <v>4518</v>
      </c>
      <c r="N254" s="1" t="s">
        <v>5568</v>
      </c>
      <c r="O254" s="1" t="s">
        <v>4518</v>
      </c>
      <c r="P254" s="1" t="s">
        <v>4518</v>
      </c>
      <c r="Q254" s="1" t="s">
        <v>4518</v>
      </c>
    </row>
    <row r="255" spans="1:17" x14ac:dyDescent="0.2">
      <c r="B255" s="7" t="s">
        <v>5912</v>
      </c>
      <c r="F255" s="1" t="s">
        <v>4518</v>
      </c>
      <c r="G255" s="1" t="s">
        <v>4518</v>
      </c>
      <c r="H255" s="1" t="s">
        <v>4518</v>
      </c>
      <c r="I255" s="1" t="s">
        <v>4518</v>
      </c>
      <c r="J255" s="1" t="s">
        <v>4518</v>
      </c>
      <c r="K255" s="1" t="s">
        <v>4518</v>
      </c>
      <c r="L255" s="1" t="s">
        <v>4518</v>
      </c>
      <c r="M255" s="1" t="s">
        <v>4518</v>
      </c>
      <c r="N255" s="1" t="s">
        <v>4518</v>
      </c>
      <c r="O255" s="1" t="s">
        <v>4518</v>
      </c>
      <c r="P255" s="1" t="s">
        <v>4518</v>
      </c>
      <c r="Q255" s="1" t="s">
        <v>4518</v>
      </c>
    </row>
    <row r="256" spans="1:17" x14ac:dyDescent="0.2">
      <c r="A256" s="1" t="s">
        <v>5913</v>
      </c>
      <c r="B256" s="1" t="s">
        <v>168</v>
      </c>
      <c r="C256" s="1" t="s">
        <v>5637</v>
      </c>
      <c r="E256" s="1" t="s">
        <v>7443</v>
      </c>
      <c r="F256" s="1" t="s">
        <v>5568</v>
      </c>
      <c r="G256" s="1" t="s">
        <v>5568</v>
      </c>
      <c r="H256" s="1" t="s">
        <v>4518</v>
      </c>
      <c r="I256" s="1" t="s">
        <v>4518</v>
      </c>
      <c r="J256" s="1" t="s">
        <v>5568</v>
      </c>
      <c r="K256" s="1" t="s">
        <v>4518</v>
      </c>
      <c r="L256" s="1" t="s">
        <v>4518</v>
      </c>
      <c r="M256" s="1" t="s">
        <v>4518</v>
      </c>
      <c r="N256" s="1" t="s">
        <v>5568</v>
      </c>
      <c r="O256" s="1" t="s">
        <v>4518</v>
      </c>
      <c r="P256" s="1" t="s">
        <v>4518</v>
      </c>
      <c r="Q256" s="1" t="s">
        <v>4518</v>
      </c>
    </row>
    <row r="257" spans="1:17" x14ac:dyDescent="0.2">
      <c r="B257" s="7" t="s">
        <v>5914</v>
      </c>
      <c r="F257" s="1" t="s">
        <v>4518</v>
      </c>
      <c r="G257" s="1" t="s">
        <v>4518</v>
      </c>
      <c r="H257" s="1" t="s">
        <v>4518</v>
      </c>
      <c r="I257" s="1" t="s">
        <v>4518</v>
      </c>
      <c r="J257" s="1" t="s">
        <v>4518</v>
      </c>
      <c r="K257" s="1" t="s">
        <v>4518</v>
      </c>
      <c r="L257" s="1" t="s">
        <v>4518</v>
      </c>
      <c r="M257" s="1" t="s">
        <v>4518</v>
      </c>
      <c r="N257" s="1" t="s">
        <v>4518</v>
      </c>
      <c r="O257" s="1" t="s">
        <v>4518</v>
      </c>
      <c r="P257" s="1" t="s">
        <v>4518</v>
      </c>
      <c r="Q257" s="1" t="s">
        <v>4518</v>
      </c>
    </row>
    <row r="258" spans="1:17" x14ac:dyDescent="0.2">
      <c r="A258" s="1" t="s">
        <v>5915</v>
      </c>
      <c r="B258" s="1" t="s">
        <v>303</v>
      </c>
      <c r="C258" s="1" t="s">
        <v>5578</v>
      </c>
      <c r="E258" s="1" t="s">
        <v>7450</v>
      </c>
      <c r="F258" s="1" t="s">
        <v>5568</v>
      </c>
      <c r="G258" s="1" t="s">
        <v>4518</v>
      </c>
      <c r="H258" s="1" t="s">
        <v>4518</v>
      </c>
      <c r="I258" s="1" t="s">
        <v>4518</v>
      </c>
      <c r="J258" s="1" t="s">
        <v>5568</v>
      </c>
      <c r="K258" s="1" t="s">
        <v>4518</v>
      </c>
      <c r="L258" s="1" t="s">
        <v>4518</v>
      </c>
      <c r="M258" s="1" t="s">
        <v>4518</v>
      </c>
      <c r="N258" s="1" t="s">
        <v>4518</v>
      </c>
      <c r="O258" s="1" t="s">
        <v>4518</v>
      </c>
      <c r="P258" s="1" t="s">
        <v>4518</v>
      </c>
      <c r="Q258" s="1" t="s">
        <v>4518</v>
      </c>
    </row>
    <row r="259" spans="1:17" x14ac:dyDescent="0.2">
      <c r="A259" s="1" t="s">
        <v>5916</v>
      </c>
      <c r="B259" s="1" t="s">
        <v>302</v>
      </c>
      <c r="C259" s="1" t="s">
        <v>5578</v>
      </c>
      <c r="E259" s="1" t="s">
        <v>7446</v>
      </c>
      <c r="F259" s="1" t="s">
        <v>5568</v>
      </c>
      <c r="G259" s="1" t="s">
        <v>5568</v>
      </c>
      <c r="H259" s="1" t="s">
        <v>4518</v>
      </c>
      <c r="I259" s="1" t="s">
        <v>4518</v>
      </c>
      <c r="J259" s="1" t="s">
        <v>5568</v>
      </c>
      <c r="K259" s="1" t="s">
        <v>4518</v>
      </c>
      <c r="L259" s="1" t="s">
        <v>4518</v>
      </c>
      <c r="M259" s="1" t="s">
        <v>4518</v>
      </c>
      <c r="N259" s="1" t="s">
        <v>4518</v>
      </c>
      <c r="O259" s="1" t="s">
        <v>4518</v>
      </c>
      <c r="P259" s="1" t="s">
        <v>4518</v>
      </c>
      <c r="Q259" s="1" t="s">
        <v>4518</v>
      </c>
    </row>
    <row r="260" spans="1:17" x14ac:dyDescent="0.2">
      <c r="A260" s="7" t="s">
        <v>5917</v>
      </c>
      <c r="F260" s="1" t="s">
        <v>4518</v>
      </c>
      <c r="G260" s="1" t="s">
        <v>4518</v>
      </c>
      <c r="H260" s="1" t="s">
        <v>4518</v>
      </c>
      <c r="I260" s="1" t="s">
        <v>4518</v>
      </c>
      <c r="J260" s="1" t="s">
        <v>4518</v>
      </c>
      <c r="K260" s="1" t="s">
        <v>4518</v>
      </c>
      <c r="L260" s="1" t="s">
        <v>4518</v>
      </c>
      <c r="M260" s="1" t="s">
        <v>4518</v>
      </c>
      <c r="N260" s="1" t="s">
        <v>4518</v>
      </c>
      <c r="O260" s="1" t="s">
        <v>4518</v>
      </c>
      <c r="P260" s="1" t="s">
        <v>4518</v>
      </c>
      <c r="Q260" s="1" t="s">
        <v>4518</v>
      </c>
    </row>
    <row r="261" spans="1:17" x14ac:dyDescent="0.2">
      <c r="A261" s="1" t="s">
        <v>5918</v>
      </c>
      <c r="B261" s="1" t="s">
        <v>1150</v>
      </c>
      <c r="C261" s="1" t="s">
        <v>5919</v>
      </c>
      <c r="D261" s="1" t="s">
        <v>5920</v>
      </c>
      <c r="E261" s="1" t="s">
        <v>52</v>
      </c>
      <c r="F261" s="1" t="s">
        <v>4518</v>
      </c>
      <c r="G261" s="1" t="s">
        <v>4518</v>
      </c>
      <c r="H261" s="1" t="s">
        <v>4518</v>
      </c>
      <c r="I261" s="1" t="s">
        <v>4518</v>
      </c>
      <c r="J261" s="1" t="s">
        <v>4518</v>
      </c>
      <c r="K261" s="1" t="s">
        <v>4518</v>
      </c>
      <c r="L261" s="1" t="s">
        <v>4518</v>
      </c>
      <c r="M261" s="1" t="s">
        <v>4518</v>
      </c>
      <c r="N261" s="1" t="s">
        <v>5568</v>
      </c>
      <c r="O261" s="1" t="s">
        <v>4518</v>
      </c>
      <c r="P261" s="1" t="s">
        <v>4518</v>
      </c>
      <c r="Q261" s="1" t="s">
        <v>4518</v>
      </c>
    </row>
    <row r="262" spans="1:17" x14ac:dyDescent="0.2">
      <c r="A262" s="1" t="s">
        <v>5921</v>
      </c>
      <c r="B262" s="1" t="s">
        <v>283</v>
      </c>
      <c r="C262" s="1" t="s">
        <v>5919</v>
      </c>
      <c r="D262" s="1" t="s">
        <v>5920</v>
      </c>
      <c r="E262" s="1" t="s">
        <v>5586</v>
      </c>
      <c r="F262" s="1" t="s">
        <v>5568</v>
      </c>
      <c r="G262" s="1" t="s">
        <v>4518</v>
      </c>
      <c r="H262" s="1" t="s">
        <v>4518</v>
      </c>
      <c r="I262" s="1" t="s">
        <v>4518</v>
      </c>
      <c r="J262" s="1" t="s">
        <v>5568</v>
      </c>
      <c r="K262" s="1" t="s">
        <v>4518</v>
      </c>
      <c r="L262" s="1" t="s">
        <v>4518</v>
      </c>
      <c r="M262" s="1" t="s">
        <v>4518</v>
      </c>
      <c r="N262" s="1" t="s">
        <v>5568</v>
      </c>
      <c r="O262" s="1" t="s">
        <v>4518</v>
      </c>
      <c r="P262" s="1" t="s">
        <v>4518</v>
      </c>
      <c r="Q262" s="1" t="s">
        <v>4518</v>
      </c>
    </row>
    <row r="263" spans="1:17" x14ac:dyDescent="0.2">
      <c r="A263" s="1" t="s">
        <v>5922</v>
      </c>
      <c r="B263" s="1" t="s">
        <v>1151</v>
      </c>
      <c r="C263" s="1" t="s">
        <v>5919</v>
      </c>
      <c r="D263" s="1" t="s">
        <v>5920</v>
      </c>
      <c r="E263" s="1" t="s">
        <v>52</v>
      </c>
      <c r="F263" s="1" t="s">
        <v>4518</v>
      </c>
      <c r="G263" s="1" t="s">
        <v>4518</v>
      </c>
      <c r="H263" s="1" t="s">
        <v>4518</v>
      </c>
      <c r="I263" s="1" t="s">
        <v>4518</v>
      </c>
      <c r="J263" s="1" t="s">
        <v>4518</v>
      </c>
      <c r="K263" s="1" t="s">
        <v>4518</v>
      </c>
      <c r="L263" s="1" t="s">
        <v>4518</v>
      </c>
      <c r="M263" s="1" t="s">
        <v>4518</v>
      </c>
      <c r="N263" s="1" t="s">
        <v>5568</v>
      </c>
      <c r="O263" s="1" t="s">
        <v>4518</v>
      </c>
      <c r="P263" s="1" t="s">
        <v>4518</v>
      </c>
      <c r="Q263" s="1" t="s">
        <v>4518</v>
      </c>
    </row>
    <row r="264" spans="1:17" x14ac:dyDescent="0.2">
      <c r="A264" s="1" t="s">
        <v>5923</v>
      </c>
      <c r="B264" s="1" t="s">
        <v>1152</v>
      </c>
      <c r="C264" s="1" t="s">
        <v>5919</v>
      </c>
      <c r="D264" s="1" t="s">
        <v>5920</v>
      </c>
      <c r="E264" s="1" t="s">
        <v>5589</v>
      </c>
      <c r="F264" s="1" t="s">
        <v>5568</v>
      </c>
      <c r="G264" s="1" t="s">
        <v>4518</v>
      </c>
      <c r="H264" s="1" t="s">
        <v>4518</v>
      </c>
      <c r="I264" s="1" t="s">
        <v>4518</v>
      </c>
      <c r="J264" s="1" t="s">
        <v>4518</v>
      </c>
      <c r="K264" s="1" t="s">
        <v>4518</v>
      </c>
      <c r="L264" s="1" t="s">
        <v>4518</v>
      </c>
      <c r="M264" s="1" t="s">
        <v>4518</v>
      </c>
      <c r="N264" s="1" t="s">
        <v>5568</v>
      </c>
      <c r="O264" s="1" t="s">
        <v>4518</v>
      </c>
      <c r="P264" s="1" t="s">
        <v>4518</v>
      </c>
      <c r="Q264" s="1" t="s">
        <v>4518</v>
      </c>
    </row>
    <row r="265" spans="1:17" x14ac:dyDescent="0.2">
      <c r="A265" s="1" t="s">
        <v>5924</v>
      </c>
      <c r="B265" s="1" t="s">
        <v>169</v>
      </c>
      <c r="C265" s="1" t="s">
        <v>5578</v>
      </c>
      <c r="D265" s="1" t="s">
        <v>5920</v>
      </c>
      <c r="E265" s="1" t="s">
        <v>7444</v>
      </c>
      <c r="F265" s="1" t="s">
        <v>5568</v>
      </c>
      <c r="G265" s="1" t="s">
        <v>5568</v>
      </c>
      <c r="H265" s="1" t="s">
        <v>5568</v>
      </c>
      <c r="I265" s="1" t="s">
        <v>5568</v>
      </c>
      <c r="J265" s="1" t="s">
        <v>5568</v>
      </c>
      <c r="K265" s="1" t="s">
        <v>5568</v>
      </c>
      <c r="L265" s="1" t="s">
        <v>5568</v>
      </c>
      <c r="M265" s="1" t="s">
        <v>5568</v>
      </c>
      <c r="N265" s="1" t="s">
        <v>5568</v>
      </c>
      <c r="O265" s="1" t="s">
        <v>4518</v>
      </c>
      <c r="P265" s="1" t="s">
        <v>4518</v>
      </c>
      <c r="Q265" s="1" t="s">
        <v>5568</v>
      </c>
    </row>
    <row r="266" spans="1:17" x14ac:dyDescent="0.2">
      <c r="A266" s="1" t="s">
        <v>5925</v>
      </c>
      <c r="B266" s="1" t="s">
        <v>1153</v>
      </c>
      <c r="C266" s="1" t="s">
        <v>5578</v>
      </c>
      <c r="D266" s="1" t="s">
        <v>5920</v>
      </c>
      <c r="E266" s="1" t="s">
        <v>5589</v>
      </c>
      <c r="F266" s="1" t="s">
        <v>5568</v>
      </c>
      <c r="G266" s="1" t="s">
        <v>4518</v>
      </c>
      <c r="H266" s="1" t="s">
        <v>4518</v>
      </c>
      <c r="I266" s="1" t="s">
        <v>4518</v>
      </c>
      <c r="J266" s="1" t="s">
        <v>4518</v>
      </c>
      <c r="K266" s="1" t="s">
        <v>4518</v>
      </c>
      <c r="L266" s="1" t="s">
        <v>4518</v>
      </c>
      <c r="M266" s="1" t="s">
        <v>4518</v>
      </c>
      <c r="N266" s="1" t="s">
        <v>5568</v>
      </c>
      <c r="O266" s="1" t="s">
        <v>4518</v>
      </c>
      <c r="P266" s="1" t="s">
        <v>4518</v>
      </c>
      <c r="Q266" s="1" t="s">
        <v>4518</v>
      </c>
    </row>
    <row r="267" spans="1:17" x14ac:dyDescent="0.2">
      <c r="A267" s="1" t="s">
        <v>5926</v>
      </c>
      <c r="B267" s="1" t="s">
        <v>284</v>
      </c>
      <c r="C267" s="1" t="s">
        <v>5919</v>
      </c>
      <c r="D267" s="1" t="s">
        <v>5920</v>
      </c>
      <c r="E267" s="1" t="s">
        <v>5586</v>
      </c>
      <c r="F267" s="1" t="s">
        <v>5568</v>
      </c>
      <c r="G267" s="1" t="s">
        <v>4518</v>
      </c>
      <c r="H267" s="1" t="s">
        <v>4518</v>
      </c>
      <c r="I267" s="1" t="s">
        <v>4518</v>
      </c>
      <c r="J267" s="1" t="s">
        <v>5568</v>
      </c>
      <c r="K267" s="1" t="s">
        <v>4518</v>
      </c>
      <c r="L267" s="1" t="s">
        <v>4518</v>
      </c>
      <c r="M267" s="1" t="s">
        <v>4518</v>
      </c>
      <c r="N267" s="1" t="s">
        <v>5568</v>
      </c>
      <c r="O267" s="1" t="s">
        <v>4518</v>
      </c>
      <c r="P267" s="1" t="s">
        <v>4518</v>
      </c>
      <c r="Q267" s="1" t="s">
        <v>4518</v>
      </c>
    </row>
    <row r="268" spans="1:17" x14ac:dyDescent="0.2">
      <c r="A268" s="1" t="s">
        <v>5927</v>
      </c>
      <c r="B268" s="1" t="s">
        <v>1154</v>
      </c>
      <c r="C268" s="1" t="s">
        <v>5919</v>
      </c>
      <c r="D268" s="1" t="s">
        <v>5920</v>
      </c>
      <c r="E268" s="1" t="s">
        <v>5589</v>
      </c>
      <c r="F268" s="1" t="s">
        <v>5568</v>
      </c>
      <c r="G268" s="1" t="s">
        <v>4518</v>
      </c>
      <c r="H268" s="1" t="s">
        <v>4518</v>
      </c>
      <c r="I268" s="1" t="s">
        <v>4518</v>
      </c>
      <c r="J268" s="1" t="s">
        <v>4518</v>
      </c>
      <c r="K268" s="1" t="s">
        <v>4518</v>
      </c>
      <c r="L268" s="1" t="s">
        <v>4518</v>
      </c>
      <c r="M268" s="1" t="s">
        <v>4518</v>
      </c>
      <c r="N268" s="1" t="s">
        <v>5568</v>
      </c>
      <c r="O268" s="1" t="s">
        <v>4518</v>
      </c>
      <c r="P268" s="1" t="s">
        <v>4518</v>
      </c>
      <c r="Q268" s="1" t="s">
        <v>4518</v>
      </c>
    </row>
    <row r="269" spans="1:17" x14ac:dyDescent="0.2">
      <c r="A269" s="1" t="s">
        <v>5928</v>
      </c>
      <c r="B269" s="1" t="s">
        <v>170</v>
      </c>
      <c r="C269" s="1" t="s">
        <v>5578</v>
      </c>
      <c r="E269" s="1" t="s">
        <v>7444</v>
      </c>
      <c r="F269" s="1" t="s">
        <v>5568</v>
      </c>
      <c r="G269" s="1" t="s">
        <v>5568</v>
      </c>
      <c r="H269" s="1" t="s">
        <v>5568</v>
      </c>
      <c r="I269" s="1" t="s">
        <v>5568</v>
      </c>
      <c r="J269" s="1" t="s">
        <v>5568</v>
      </c>
      <c r="K269" s="1" t="s">
        <v>5568</v>
      </c>
      <c r="L269" s="1" t="s">
        <v>5568</v>
      </c>
      <c r="M269" s="1" t="s">
        <v>5568</v>
      </c>
      <c r="N269" s="1" t="s">
        <v>5568</v>
      </c>
      <c r="O269" s="1" t="s">
        <v>4518</v>
      </c>
      <c r="P269" s="1" t="s">
        <v>4518</v>
      </c>
      <c r="Q269" s="1" t="s">
        <v>5568</v>
      </c>
    </row>
    <row r="270" spans="1:17" x14ac:dyDescent="0.2">
      <c r="A270" s="1" t="s">
        <v>5929</v>
      </c>
      <c r="B270" s="1" t="s">
        <v>171</v>
      </c>
      <c r="C270" s="1" t="s">
        <v>5578</v>
      </c>
      <c r="D270" s="1" t="s">
        <v>5930</v>
      </c>
      <c r="E270" s="1" t="s">
        <v>7443</v>
      </c>
      <c r="F270" s="1" t="s">
        <v>5568</v>
      </c>
      <c r="G270" s="1" t="s">
        <v>5568</v>
      </c>
      <c r="H270" s="1" t="s">
        <v>4518</v>
      </c>
      <c r="I270" s="1" t="s">
        <v>4518</v>
      </c>
      <c r="J270" s="1" t="s">
        <v>5568</v>
      </c>
      <c r="K270" s="1" t="s">
        <v>4518</v>
      </c>
      <c r="L270" s="1" t="s">
        <v>4518</v>
      </c>
      <c r="M270" s="1" t="s">
        <v>4518</v>
      </c>
      <c r="N270" s="1" t="s">
        <v>5568</v>
      </c>
      <c r="O270" s="1" t="s">
        <v>4518</v>
      </c>
      <c r="P270" s="1" t="s">
        <v>4518</v>
      </c>
      <c r="Q270" s="1" t="s">
        <v>4518</v>
      </c>
    </row>
    <row r="271" spans="1:17" x14ac:dyDescent="0.2">
      <c r="A271" s="1" t="s">
        <v>5931</v>
      </c>
      <c r="B271" s="1" t="s">
        <v>1155</v>
      </c>
      <c r="C271" s="1" t="s">
        <v>5919</v>
      </c>
      <c r="D271" s="1" t="s">
        <v>5920</v>
      </c>
      <c r="E271" s="1" t="s">
        <v>5589</v>
      </c>
      <c r="F271" s="1" t="s">
        <v>5568</v>
      </c>
      <c r="G271" s="1" t="s">
        <v>4518</v>
      </c>
      <c r="H271" s="1" t="s">
        <v>4518</v>
      </c>
      <c r="I271" s="1" t="s">
        <v>4518</v>
      </c>
      <c r="J271" s="1" t="s">
        <v>4518</v>
      </c>
      <c r="K271" s="1" t="s">
        <v>4518</v>
      </c>
      <c r="L271" s="1" t="s">
        <v>4518</v>
      </c>
      <c r="M271" s="1" t="s">
        <v>4518</v>
      </c>
      <c r="N271" s="1" t="s">
        <v>5568</v>
      </c>
      <c r="O271" s="1" t="s">
        <v>4518</v>
      </c>
      <c r="P271" s="1" t="s">
        <v>4518</v>
      </c>
      <c r="Q271" s="1" t="s">
        <v>4518</v>
      </c>
    </row>
    <row r="272" spans="1:17" x14ac:dyDescent="0.2">
      <c r="A272" s="1" t="s">
        <v>5932</v>
      </c>
      <c r="B272" s="1" t="s">
        <v>172</v>
      </c>
      <c r="C272" s="1" t="s">
        <v>5578</v>
      </c>
      <c r="D272" s="1" t="s">
        <v>5920</v>
      </c>
      <c r="E272" s="1" t="s">
        <v>7444</v>
      </c>
      <c r="F272" s="1" t="s">
        <v>5568</v>
      </c>
      <c r="G272" s="1" t="s">
        <v>5568</v>
      </c>
      <c r="H272" s="1" t="s">
        <v>5568</v>
      </c>
      <c r="I272" s="1" t="s">
        <v>5568</v>
      </c>
      <c r="J272" s="1" t="s">
        <v>5568</v>
      </c>
      <c r="K272" s="1" t="s">
        <v>5568</v>
      </c>
      <c r="L272" s="1" t="s">
        <v>5568</v>
      </c>
      <c r="M272" s="1" t="s">
        <v>5568</v>
      </c>
      <c r="N272" s="1" t="s">
        <v>5568</v>
      </c>
      <c r="O272" s="1" t="s">
        <v>4518</v>
      </c>
      <c r="P272" s="1" t="s">
        <v>4518</v>
      </c>
      <c r="Q272" s="1" t="s">
        <v>5568</v>
      </c>
    </row>
    <row r="273" spans="1:17" x14ac:dyDescent="0.2">
      <c r="A273" s="1" t="s">
        <v>5933</v>
      </c>
      <c r="B273" s="1" t="s">
        <v>173</v>
      </c>
      <c r="C273" s="1" t="s">
        <v>5578</v>
      </c>
      <c r="D273" s="1" t="s">
        <v>5920</v>
      </c>
      <c r="E273" s="1" t="s">
        <v>7444</v>
      </c>
      <c r="F273" s="1" t="s">
        <v>5568</v>
      </c>
      <c r="G273" s="1" t="s">
        <v>5568</v>
      </c>
      <c r="H273" s="1" t="s">
        <v>5568</v>
      </c>
      <c r="I273" s="1" t="s">
        <v>5568</v>
      </c>
      <c r="J273" s="1" t="s">
        <v>5568</v>
      </c>
      <c r="K273" s="1" t="s">
        <v>5568</v>
      </c>
      <c r="L273" s="1" t="s">
        <v>5568</v>
      </c>
      <c r="M273" s="1" t="s">
        <v>5568</v>
      </c>
      <c r="N273" s="1" t="s">
        <v>5568</v>
      </c>
      <c r="O273" s="1" t="s">
        <v>4518</v>
      </c>
      <c r="P273" s="1" t="s">
        <v>4518</v>
      </c>
      <c r="Q273" s="1" t="s">
        <v>5568</v>
      </c>
    </row>
    <row r="274" spans="1:17" x14ac:dyDescent="0.2">
      <c r="A274" s="1" t="s">
        <v>5934</v>
      </c>
      <c r="B274" s="1" t="s">
        <v>286</v>
      </c>
      <c r="C274" s="1" t="s">
        <v>5578</v>
      </c>
      <c r="D274" s="1" t="s">
        <v>5920</v>
      </c>
      <c r="E274" s="1" t="s">
        <v>7444</v>
      </c>
      <c r="F274" s="1" t="s">
        <v>5568</v>
      </c>
      <c r="G274" s="1" t="s">
        <v>5568</v>
      </c>
      <c r="H274" s="1" t="s">
        <v>5568</v>
      </c>
      <c r="I274" s="1" t="s">
        <v>5568</v>
      </c>
      <c r="J274" s="1" t="s">
        <v>5568</v>
      </c>
      <c r="K274" s="1" t="s">
        <v>5568</v>
      </c>
      <c r="L274" s="1" t="s">
        <v>5568</v>
      </c>
      <c r="M274" s="1" t="s">
        <v>5568</v>
      </c>
      <c r="N274" s="1" t="s">
        <v>5568</v>
      </c>
      <c r="O274" s="1" t="s">
        <v>4518</v>
      </c>
      <c r="P274" s="1" t="s">
        <v>4518</v>
      </c>
      <c r="Q274" s="1" t="s">
        <v>5568</v>
      </c>
    </row>
    <row r="275" spans="1:17" x14ac:dyDescent="0.2">
      <c r="A275" s="1" t="s">
        <v>5935</v>
      </c>
      <c r="B275" s="1" t="s">
        <v>1156</v>
      </c>
      <c r="C275" s="1" t="s">
        <v>5919</v>
      </c>
      <c r="D275" s="1" t="s">
        <v>5920</v>
      </c>
      <c r="E275" s="1" t="s">
        <v>52</v>
      </c>
      <c r="F275" s="1" t="s">
        <v>4518</v>
      </c>
      <c r="G275" s="1" t="s">
        <v>4518</v>
      </c>
      <c r="H275" s="1" t="s">
        <v>4518</v>
      </c>
      <c r="I275" s="1" t="s">
        <v>4518</v>
      </c>
      <c r="J275" s="1" t="s">
        <v>4518</v>
      </c>
      <c r="K275" s="1" t="s">
        <v>4518</v>
      </c>
      <c r="L275" s="1" t="s">
        <v>4518</v>
      </c>
      <c r="M275" s="1" t="s">
        <v>4518</v>
      </c>
      <c r="N275" s="1" t="s">
        <v>5568</v>
      </c>
      <c r="O275" s="1" t="s">
        <v>4518</v>
      </c>
      <c r="P275" s="1" t="s">
        <v>4518</v>
      </c>
      <c r="Q275" s="1" t="s">
        <v>4518</v>
      </c>
    </row>
    <row r="276" spans="1:17" x14ac:dyDescent="0.2">
      <c r="A276" s="1" t="s">
        <v>5936</v>
      </c>
      <c r="B276" s="1" t="s">
        <v>174</v>
      </c>
      <c r="C276" s="1" t="s">
        <v>5578</v>
      </c>
      <c r="D276" s="1" t="s">
        <v>5920</v>
      </c>
      <c r="E276" s="1" t="s">
        <v>7444</v>
      </c>
      <c r="F276" s="1" t="s">
        <v>5568</v>
      </c>
      <c r="G276" s="1" t="s">
        <v>5568</v>
      </c>
      <c r="H276" s="1" t="s">
        <v>5568</v>
      </c>
      <c r="I276" s="1" t="s">
        <v>5568</v>
      </c>
      <c r="J276" s="1" t="s">
        <v>5568</v>
      </c>
      <c r="K276" s="1" t="s">
        <v>5568</v>
      </c>
      <c r="L276" s="1" t="s">
        <v>5568</v>
      </c>
      <c r="M276" s="1" t="s">
        <v>5568</v>
      </c>
      <c r="N276" s="1" t="s">
        <v>5568</v>
      </c>
      <c r="O276" s="1" t="s">
        <v>4518</v>
      </c>
      <c r="P276" s="1" t="s">
        <v>4518</v>
      </c>
      <c r="Q276" s="1" t="s">
        <v>5568</v>
      </c>
    </row>
    <row r="277" spans="1:17" x14ac:dyDescent="0.2">
      <c r="A277" s="1" t="s">
        <v>5937</v>
      </c>
      <c r="B277" s="1" t="s">
        <v>1157</v>
      </c>
      <c r="C277" s="1" t="s">
        <v>5578</v>
      </c>
      <c r="E277" s="1" t="s">
        <v>52</v>
      </c>
      <c r="F277" s="1" t="s">
        <v>4518</v>
      </c>
      <c r="G277" s="1" t="s">
        <v>4518</v>
      </c>
      <c r="H277" s="1" t="s">
        <v>4518</v>
      </c>
      <c r="I277" s="1" t="s">
        <v>4518</v>
      </c>
      <c r="J277" s="1" t="s">
        <v>4518</v>
      </c>
      <c r="K277" s="1" t="s">
        <v>4518</v>
      </c>
      <c r="L277" s="1" t="s">
        <v>4518</v>
      </c>
      <c r="M277" s="1" t="s">
        <v>4518</v>
      </c>
      <c r="N277" s="1" t="s">
        <v>5568</v>
      </c>
      <c r="O277" s="1" t="s">
        <v>4518</v>
      </c>
      <c r="P277" s="1" t="s">
        <v>4518</v>
      </c>
      <c r="Q277" s="1" t="s">
        <v>4518</v>
      </c>
    </row>
    <row r="278" spans="1:17" x14ac:dyDescent="0.2">
      <c r="A278" s="1" t="s">
        <v>5938</v>
      </c>
      <c r="B278" s="1" t="s">
        <v>1158</v>
      </c>
      <c r="C278" s="1" t="s">
        <v>5919</v>
      </c>
      <c r="D278" s="1" t="s">
        <v>5920</v>
      </c>
      <c r="E278" s="1" t="s">
        <v>52</v>
      </c>
      <c r="F278" s="1" t="s">
        <v>4518</v>
      </c>
      <c r="G278" s="1" t="s">
        <v>4518</v>
      </c>
      <c r="H278" s="1" t="s">
        <v>4518</v>
      </c>
      <c r="I278" s="1" t="s">
        <v>4518</v>
      </c>
      <c r="J278" s="1" t="s">
        <v>4518</v>
      </c>
      <c r="K278" s="1" t="s">
        <v>4518</v>
      </c>
      <c r="L278" s="1" t="s">
        <v>4518</v>
      </c>
      <c r="M278" s="1" t="s">
        <v>4518</v>
      </c>
      <c r="N278" s="1" t="s">
        <v>5568</v>
      </c>
      <c r="O278" s="1" t="s">
        <v>4518</v>
      </c>
      <c r="P278" s="1" t="s">
        <v>4518</v>
      </c>
      <c r="Q278" s="1" t="s">
        <v>4518</v>
      </c>
    </row>
    <row r="279" spans="1:17" x14ac:dyDescent="0.2">
      <c r="A279" s="1" t="s">
        <v>5939</v>
      </c>
      <c r="B279" s="1" t="s">
        <v>175</v>
      </c>
      <c r="C279" s="1" t="s">
        <v>5578</v>
      </c>
      <c r="D279" s="1" t="s">
        <v>5920</v>
      </c>
      <c r="E279" s="1" t="s">
        <v>7444</v>
      </c>
      <c r="F279" s="1" t="s">
        <v>5568</v>
      </c>
      <c r="G279" s="1" t="s">
        <v>5568</v>
      </c>
      <c r="H279" s="1" t="s">
        <v>5568</v>
      </c>
      <c r="I279" s="1" t="s">
        <v>5568</v>
      </c>
      <c r="J279" s="1" t="s">
        <v>5568</v>
      </c>
      <c r="K279" s="1" t="s">
        <v>5568</v>
      </c>
      <c r="L279" s="1" t="s">
        <v>5568</v>
      </c>
      <c r="M279" s="1" t="s">
        <v>5568</v>
      </c>
      <c r="N279" s="1" t="s">
        <v>5568</v>
      </c>
      <c r="O279" s="1" t="s">
        <v>4518</v>
      </c>
      <c r="P279" s="1" t="s">
        <v>4518</v>
      </c>
      <c r="Q279" s="1" t="s">
        <v>5568</v>
      </c>
    </row>
    <row r="280" spans="1:17" x14ac:dyDescent="0.2">
      <c r="A280" s="1" t="s">
        <v>5940</v>
      </c>
      <c r="B280" s="1" t="s">
        <v>1159</v>
      </c>
      <c r="C280" s="1" t="s">
        <v>5578</v>
      </c>
      <c r="D280" s="1" t="s">
        <v>5920</v>
      </c>
      <c r="E280" s="1" t="s">
        <v>5589</v>
      </c>
      <c r="F280" s="1" t="s">
        <v>5568</v>
      </c>
      <c r="G280" s="1" t="s">
        <v>4518</v>
      </c>
      <c r="H280" s="1" t="s">
        <v>4518</v>
      </c>
      <c r="I280" s="1" t="s">
        <v>4518</v>
      </c>
      <c r="J280" s="1" t="s">
        <v>4518</v>
      </c>
      <c r="K280" s="1" t="s">
        <v>4518</v>
      </c>
      <c r="L280" s="1" t="s">
        <v>4518</v>
      </c>
      <c r="M280" s="1" t="s">
        <v>4518</v>
      </c>
      <c r="N280" s="1" t="s">
        <v>5568</v>
      </c>
      <c r="O280" s="1" t="s">
        <v>4518</v>
      </c>
      <c r="P280" s="1" t="s">
        <v>4518</v>
      </c>
      <c r="Q280" s="1" t="s">
        <v>4518</v>
      </c>
    </row>
    <row r="281" spans="1:17" x14ac:dyDescent="0.2">
      <c r="A281" s="1" t="s">
        <v>5941</v>
      </c>
      <c r="B281" s="1" t="s">
        <v>1160</v>
      </c>
      <c r="C281" s="1" t="s">
        <v>5578</v>
      </c>
      <c r="D281" s="1" t="s">
        <v>5920</v>
      </c>
      <c r="E281" s="1" t="s">
        <v>52</v>
      </c>
      <c r="F281" s="1" t="s">
        <v>4518</v>
      </c>
      <c r="G281" s="1" t="s">
        <v>4518</v>
      </c>
      <c r="H281" s="1" t="s">
        <v>4518</v>
      </c>
      <c r="I281" s="1" t="s">
        <v>4518</v>
      </c>
      <c r="J281" s="1" t="s">
        <v>4518</v>
      </c>
      <c r="K281" s="1" t="s">
        <v>4518</v>
      </c>
      <c r="L281" s="1" t="s">
        <v>4518</v>
      </c>
      <c r="M281" s="1" t="s">
        <v>4518</v>
      </c>
      <c r="N281" s="1" t="s">
        <v>5568</v>
      </c>
      <c r="O281" s="1" t="s">
        <v>4518</v>
      </c>
      <c r="P281" s="1" t="s">
        <v>4518</v>
      </c>
      <c r="Q281" s="1" t="s">
        <v>4518</v>
      </c>
    </row>
    <row r="282" spans="1:17" x14ac:dyDescent="0.2">
      <c r="A282" s="1" t="s">
        <v>23</v>
      </c>
      <c r="B282" s="1" t="s">
        <v>1161</v>
      </c>
      <c r="C282" s="1" t="s">
        <v>5919</v>
      </c>
      <c r="D282" s="1" t="s">
        <v>5920</v>
      </c>
      <c r="E282" s="1" t="s">
        <v>5589</v>
      </c>
      <c r="F282" s="1" t="s">
        <v>5568</v>
      </c>
      <c r="G282" s="1" t="s">
        <v>4518</v>
      </c>
      <c r="H282" s="1" t="s">
        <v>4518</v>
      </c>
      <c r="I282" s="1" t="s">
        <v>4518</v>
      </c>
      <c r="J282" s="1" t="s">
        <v>4518</v>
      </c>
      <c r="K282" s="1" t="s">
        <v>4518</v>
      </c>
      <c r="L282" s="1" t="s">
        <v>4518</v>
      </c>
      <c r="M282" s="1" t="s">
        <v>4518</v>
      </c>
      <c r="N282" s="1" t="s">
        <v>5568</v>
      </c>
      <c r="O282" s="1" t="s">
        <v>4518</v>
      </c>
      <c r="P282" s="1" t="s">
        <v>4518</v>
      </c>
      <c r="Q282" s="1" t="s">
        <v>4518</v>
      </c>
    </row>
    <row r="283" spans="1:17" x14ac:dyDescent="0.2">
      <c r="A283" s="1" t="s">
        <v>5942</v>
      </c>
      <c r="B283" s="1" t="s">
        <v>1162</v>
      </c>
      <c r="C283" s="1" t="s">
        <v>5919</v>
      </c>
      <c r="E283" s="1" t="s">
        <v>52</v>
      </c>
      <c r="F283" s="1" t="s">
        <v>4518</v>
      </c>
      <c r="G283" s="1" t="s">
        <v>4518</v>
      </c>
      <c r="H283" s="1" t="s">
        <v>4518</v>
      </c>
      <c r="I283" s="1" t="s">
        <v>4518</v>
      </c>
      <c r="J283" s="1" t="s">
        <v>4518</v>
      </c>
      <c r="K283" s="1" t="s">
        <v>4518</v>
      </c>
      <c r="L283" s="1" t="s">
        <v>4518</v>
      </c>
      <c r="M283" s="1" t="s">
        <v>4518</v>
      </c>
      <c r="N283" s="1" t="s">
        <v>5568</v>
      </c>
      <c r="O283" s="1" t="s">
        <v>4518</v>
      </c>
      <c r="P283" s="1" t="s">
        <v>4518</v>
      </c>
      <c r="Q283" s="1" t="s">
        <v>4518</v>
      </c>
    </row>
    <row r="284" spans="1:17" x14ac:dyDescent="0.2">
      <c r="A284" s="1" t="s">
        <v>5943</v>
      </c>
      <c r="B284" s="1" t="s">
        <v>1163</v>
      </c>
      <c r="C284" s="1" t="s">
        <v>5919</v>
      </c>
      <c r="D284" s="1" t="s">
        <v>5920</v>
      </c>
      <c r="E284" s="1" t="s">
        <v>5589</v>
      </c>
      <c r="F284" s="1" t="s">
        <v>5568</v>
      </c>
      <c r="G284" s="1" t="s">
        <v>4518</v>
      </c>
      <c r="H284" s="1" t="s">
        <v>4518</v>
      </c>
      <c r="I284" s="1" t="s">
        <v>4518</v>
      </c>
      <c r="J284" s="1" t="s">
        <v>4518</v>
      </c>
      <c r="K284" s="1" t="s">
        <v>4518</v>
      </c>
      <c r="L284" s="1" t="s">
        <v>4518</v>
      </c>
      <c r="M284" s="1" t="s">
        <v>4518</v>
      </c>
      <c r="N284" s="1" t="s">
        <v>5568</v>
      </c>
      <c r="O284" s="1" t="s">
        <v>4518</v>
      </c>
      <c r="P284" s="1" t="s">
        <v>4518</v>
      </c>
      <c r="Q284" s="1" t="s">
        <v>4518</v>
      </c>
    </row>
    <row r="285" spans="1:17" x14ac:dyDescent="0.2">
      <c r="A285" s="1" t="s">
        <v>5944</v>
      </c>
      <c r="B285" s="1" t="s">
        <v>176</v>
      </c>
      <c r="C285" s="1" t="s">
        <v>5578</v>
      </c>
      <c r="D285" s="1" t="s">
        <v>5920</v>
      </c>
      <c r="E285" s="1" t="s">
        <v>7444</v>
      </c>
      <c r="F285" s="1" t="s">
        <v>5568</v>
      </c>
      <c r="G285" s="1" t="s">
        <v>5568</v>
      </c>
      <c r="H285" s="1" t="s">
        <v>5568</v>
      </c>
      <c r="I285" s="1" t="s">
        <v>5568</v>
      </c>
      <c r="J285" s="1" t="s">
        <v>5568</v>
      </c>
      <c r="K285" s="1" t="s">
        <v>5568</v>
      </c>
      <c r="L285" s="1" t="s">
        <v>5568</v>
      </c>
      <c r="M285" s="1" t="s">
        <v>5568</v>
      </c>
      <c r="N285" s="1" t="s">
        <v>5568</v>
      </c>
      <c r="O285" s="1" t="s">
        <v>4518</v>
      </c>
      <c r="P285" s="1" t="s">
        <v>4518</v>
      </c>
      <c r="Q285" s="1" t="s">
        <v>5568</v>
      </c>
    </row>
    <row r="286" spans="1:17" x14ac:dyDescent="0.2">
      <c r="B286" s="7" t="s">
        <v>5945</v>
      </c>
      <c r="F286" s="1" t="s">
        <v>4518</v>
      </c>
      <c r="G286" s="1" t="s">
        <v>4518</v>
      </c>
      <c r="H286" s="1" t="s">
        <v>4518</v>
      </c>
      <c r="I286" s="1" t="s">
        <v>4518</v>
      </c>
      <c r="J286" s="1" t="s">
        <v>4518</v>
      </c>
      <c r="K286" s="1" t="s">
        <v>4518</v>
      </c>
      <c r="L286" s="1" t="s">
        <v>4518</v>
      </c>
      <c r="M286" s="1" t="s">
        <v>4518</v>
      </c>
      <c r="N286" s="1" t="s">
        <v>4518</v>
      </c>
      <c r="O286" s="1" t="s">
        <v>4518</v>
      </c>
      <c r="P286" s="1" t="s">
        <v>4518</v>
      </c>
      <c r="Q286" s="1" t="s">
        <v>4518</v>
      </c>
    </row>
    <row r="287" spans="1:17" x14ac:dyDescent="0.2">
      <c r="A287" s="1" t="s">
        <v>5946</v>
      </c>
      <c r="B287" s="1" t="s">
        <v>1164</v>
      </c>
      <c r="C287" s="1" t="s">
        <v>5919</v>
      </c>
      <c r="D287" s="1" t="s">
        <v>5920</v>
      </c>
      <c r="E287" s="1" t="s">
        <v>5589</v>
      </c>
      <c r="F287" s="1" t="s">
        <v>5568</v>
      </c>
      <c r="G287" s="1" t="s">
        <v>4518</v>
      </c>
      <c r="H287" s="1" t="s">
        <v>4518</v>
      </c>
      <c r="I287" s="1" t="s">
        <v>4518</v>
      </c>
      <c r="J287" s="1" t="s">
        <v>4518</v>
      </c>
      <c r="K287" s="1" t="s">
        <v>4518</v>
      </c>
      <c r="L287" s="1" t="s">
        <v>4518</v>
      </c>
      <c r="M287" s="1" t="s">
        <v>4518</v>
      </c>
      <c r="N287" s="1" t="s">
        <v>5568</v>
      </c>
      <c r="O287" s="1" t="s">
        <v>4518</v>
      </c>
      <c r="P287" s="1" t="s">
        <v>4518</v>
      </c>
      <c r="Q287" s="1" t="s">
        <v>4518</v>
      </c>
    </row>
    <row r="288" spans="1:17" x14ac:dyDescent="0.2">
      <c r="A288" s="1" t="s">
        <v>5947</v>
      </c>
      <c r="B288" s="1" t="s">
        <v>1165</v>
      </c>
      <c r="C288" s="1" t="s">
        <v>5919</v>
      </c>
      <c r="D288" s="1" t="s">
        <v>5920</v>
      </c>
      <c r="E288" s="1" t="s">
        <v>5589</v>
      </c>
      <c r="F288" s="1" t="s">
        <v>5568</v>
      </c>
      <c r="G288" s="1" t="s">
        <v>4518</v>
      </c>
      <c r="H288" s="1" t="s">
        <v>4518</v>
      </c>
      <c r="I288" s="1" t="s">
        <v>4518</v>
      </c>
      <c r="J288" s="1" t="s">
        <v>4518</v>
      </c>
      <c r="K288" s="1" t="s">
        <v>4518</v>
      </c>
      <c r="L288" s="1" t="s">
        <v>4518</v>
      </c>
      <c r="M288" s="1" t="s">
        <v>4518</v>
      </c>
      <c r="N288" s="1" t="s">
        <v>5568</v>
      </c>
      <c r="O288" s="1" t="s">
        <v>4518</v>
      </c>
      <c r="P288" s="1" t="s">
        <v>4518</v>
      </c>
      <c r="Q288" s="1" t="s">
        <v>4518</v>
      </c>
    </row>
    <row r="289" spans="1:17" x14ac:dyDescent="0.2">
      <c r="A289" s="1" t="s">
        <v>5948</v>
      </c>
      <c r="B289" s="1" t="s">
        <v>1166</v>
      </c>
      <c r="C289" s="1" t="s">
        <v>5919</v>
      </c>
      <c r="D289" s="1" t="s">
        <v>5920</v>
      </c>
      <c r="E289" s="1" t="s">
        <v>52</v>
      </c>
      <c r="F289" s="1" t="s">
        <v>4518</v>
      </c>
      <c r="G289" s="1" t="s">
        <v>4518</v>
      </c>
      <c r="H289" s="1" t="s">
        <v>4518</v>
      </c>
      <c r="I289" s="1" t="s">
        <v>4518</v>
      </c>
      <c r="J289" s="1" t="s">
        <v>4518</v>
      </c>
      <c r="K289" s="1" t="s">
        <v>4518</v>
      </c>
      <c r="L289" s="1" t="s">
        <v>4518</v>
      </c>
      <c r="M289" s="1" t="s">
        <v>4518</v>
      </c>
      <c r="N289" s="1" t="s">
        <v>5568</v>
      </c>
      <c r="O289" s="1" t="s">
        <v>4518</v>
      </c>
      <c r="P289" s="1" t="s">
        <v>4518</v>
      </c>
      <c r="Q289" s="1" t="s">
        <v>4518</v>
      </c>
    </row>
    <row r="290" spans="1:17" x14ac:dyDescent="0.2">
      <c r="A290" s="1" t="s">
        <v>5949</v>
      </c>
      <c r="B290" s="1" t="s">
        <v>287</v>
      </c>
      <c r="C290" s="1" t="s">
        <v>5919</v>
      </c>
      <c r="D290" s="1" t="s">
        <v>5920</v>
      </c>
      <c r="E290" s="1" t="s">
        <v>5586</v>
      </c>
      <c r="F290" s="1" t="s">
        <v>5568</v>
      </c>
      <c r="G290" s="1" t="s">
        <v>4518</v>
      </c>
      <c r="H290" s="1" t="s">
        <v>4518</v>
      </c>
      <c r="I290" s="1" t="s">
        <v>4518</v>
      </c>
      <c r="J290" s="1" t="s">
        <v>5568</v>
      </c>
      <c r="K290" s="1" t="s">
        <v>4518</v>
      </c>
      <c r="L290" s="1" t="s">
        <v>4518</v>
      </c>
      <c r="M290" s="1" t="s">
        <v>4518</v>
      </c>
      <c r="N290" s="1" t="s">
        <v>5568</v>
      </c>
      <c r="O290" s="1" t="s">
        <v>4518</v>
      </c>
      <c r="P290" s="1" t="s">
        <v>4518</v>
      </c>
      <c r="Q290" s="1" t="s">
        <v>4518</v>
      </c>
    </row>
    <row r="291" spans="1:17" x14ac:dyDescent="0.2">
      <c r="A291" s="1" t="s">
        <v>7630</v>
      </c>
      <c r="B291" s="1" t="s">
        <v>7189</v>
      </c>
      <c r="C291" s="1" t="s">
        <v>5919</v>
      </c>
      <c r="D291" s="1" t="s">
        <v>7631</v>
      </c>
      <c r="E291" s="1" t="s">
        <v>36</v>
      </c>
      <c r="F291" s="1" t="s">
        <v>5568</v>
      </c>
      <c r="G291" s="1" t="s">
        <v>4518</v>
      </c>
      <c r="H291" s="1" t="s">
        <v>4518</v>
      </c>
      <c r="I291" s="1" t="s">
        <v>4518</v>
      </c>
      <c r="J291" s="1" t="s">
        <v>4518</v>
      </c>
      <c r="K291" s="1" t="s">
        <v>4518</v>
      </c>
      <c r="L291" s="1" t="s">
        <v>4518</v>
      </c>
      <c r="M291" s="1" t="s">
        <v>4518</v>
      </c>
      <c r="N291" s="1" t="s">
        <v>4518</v>
      </c>
      <c r="O291" s="1" t="s">
        <v>4518</v>
      </c>
      <c r="P291" s="1" t="s">
        <v>4518</v>
      </c>
      <c r="Q291" s="1" t="s">
        <v>4518</v>
      </c>
    </row>
    <row r="292" spans="1:17" x14ac:dyDescent="0.2">
      <c r="A292" s="1" t="s">
        <v>5950</v>
      </c>
      <c r="B292" s="1" t="s">
        <v>1167</v>
      </c>
      <c r="C292" s="1" t="s">
        <v>5919</v>
      </c>
      <c r="D292" s="1" t="s">
        <v>5920</v>
      </c>
      <c r="E292" s="1" t="s">
        <v>52</v>
      </c>
      <c r="F292" s="1" t="s">
        <v>4518</v>
      </c>
      <c r="G292" s="1" t="s">
        <v>4518</v>
      </c>
      <c r="H292" s="1" t="s">
        <v>4518</v>
      </c>
      <c r="I292" s="1" t="s">
        <v>4518</v>
      </c>
      <c r="J292" s="1" t="s">
        <v>4518</v>
      </c>
      <c r="K292" s="1" t="s">
        <v>4518</v>
      </c>
      <c r="L292" s="1" t="s">
        <v>4518</v>
      </c>
      <c r="M292" s="1" t="s">
        <v>4518</v>
      </c>
      <c r="N292" s="1" t="s">
        <v>5568</v>
      </c>
      <c r="O292" s="1" t="s">
        <v>4518</v>
      </c>
      <c r="P292" s="1" t="s">
        <v>4518</v>
      </c>
      <c r="Q292" s="1" t="s">
        <v>4518</v>
      </c>
    </row>
    <row r="293" spans="1:17" x14ac:dyDescent="0.2">
      <c r="A293" s="1" t="s">
        <v>5951</v>
      </c>
      <c r="B293" s="1" t="s">
        <v>1168</v>
      </c>
      <c r="C293" s="1" t="s">
        <v>5919</v>
      </c>
      <c r="E293" s="1" t="s">
        <v>52</v>
      </c>
      <c r="F293" s="1" t="s">
        <v>4518</v>
      </c>
      <c r="G293" s="1" t="s">
        <v>4518</v>
      </c>
      <c r="H293" s="1" t="s">
        <v>4518</v>
      </c>
      <c r="I293" s="1" t="s">
        <v>4518</v>
      </c>
      <c r="J293" s="1" t="s">
        <v>4518</v>
      </c>
      <c r="K293" s="1" t="s">
        <v>4518</v>
      </c>
      <c r="L293" s="1" t="s">
        <v>4518</v>
      </c>
      <c r="M293" s="1" t="s">
        <v>4518</v>
      </c>
      <c r="N293" s="1" t="s">
        <v>5568</v>
      </c>
      <c r="O293" s="1" t="s">
        <v>4518</v>
      </c>
      <c r="P293" s="1" t="s">
        <v>4518</v>
      </c>
      <c r="Q293" s="1" t="s">
        <v>4518</v>
      </c>
    </row>
    <row r="294" spans="1:17" x14ac:dyDescent="0.2">
      <c r="A294" s="7" t="s">
        <v>5952</v>
      </c>
      <c r="F294" s="1" t="s">
        <v>4518</v>
      </c>
      <c r="G294" s="1" t="s">
        <v>4518</v>
      </c>
      <c r="H294" s="1" t="s">
        <v>4518</v>
      </c>
      <c r="I294" s="1" t="s">
        <v>4518</v>
      </c>
      <c r="J294" s="1" t="s">
        <v>4518</v>
      </c>
      <c r="K294" s="1" t="s">
        <v>4518</v>
      </c>
      <c r="L294" s="1" t="s">
        <v>4518</v>
      </c>
      <c r="M294" s="1" t="s">
        <v>4518</v>
      </c>
      <c r="N294" s="1" t="s">
        <v>4518</v>
      </c>
      <c r="O294" s="1" t="s">
        <v>4518</v>
      </c>
      <c r="P294" s="1" t="s">
        <v>4518</v>
      </c>
      <c r="Q294" s="1" t="s">
        <v>4518</v>
      </c>
    </row>
    <row r="295" spans="1:17" x14ac:dyDescent="0.2">
      <c r="B295" s="7" t="s">
        <v>5953</v>
      </c>
      <c r="F295" s="1" t="s">
        <v>4518</v>
      </c>
      <c r="G295" s="1" t="s">
        <v>4518</v>
      </c>
      <c r="H295" s="1" t="s">
        <v>4518</v>
      </c>
      <c r="I295" s="1" t="s">
        <v>4518</v>
      </c>
      <c r="J295" s="1" t="s">
        <v>4518</v>
      </c>
      <c r="K295" s="1" t="s">
        <v>4518</v>
      </c>
      <c r="L295" s="1" t="s">
        <v>4518</v>
      </c>
      <c r="M295" s="1" t="s">
        <v>4518</v>
      </c>
      <c r="N295" s="1" t="s">
        <v>4518</v>
      </c>
      <c r="O295" s="1" t="s">
        <v>4518</v>
      </c>
      <c r="P295" s="1" t="s">
        <v>4518</v>
      </c>
      <c r="Q295" s="1" t="s">
        <v>4518</v>
      </c>
    </row>
    <row r="296" spans="1:17" x14ac:dyDescent="0.2">
      <c r="C296" s="7" t="s">
        <v>5954</v>
      </c>
      <c r="F296" s="1" t="s">
        <v>4518</v>
      </c>
      <c r="G296" s="1" t="s">
        <v>4518</v>
      </c>
      <c r="H296" s="1" t="s">
        <v>4518</v>
      </c>
      <c r="I296" s="1" t="s">
        <v>4518</v>
      </c>
      <c r="J296" s="1" t="s">
        <v>4518</v>
      </c>
      <c r="K296" s="1" t="s">
        <v>4518</v>
      </c>
      <c r="L296" s="1" t="s">
        <v>4518</v>
      </c>
      <c r="M296" s="1" t="s">
        <v>4518</v>
      </c>
      <c r="N296" s="1" t="s">
        <v>4518</v>
      </c>
      <c r="O296" s="1" t="s">
        <v>4518</v>
      </c>
      <c r="P296" s="1" t="s">
        <v>4518</v>
      </c>
      <c r="Q296" s="1" t="s">
        <v>4518</v>
      </c>
    </row>
    <row r="297" spans="1:17" x14ac:dyDescent="0.2">
      <c r="A297" s="1" t="s">
        <v>5955</v>
      </c>
      <c r="B297" s="1" t="s">
        <v>5956</v>
      </c>
      <c r="C297" s="1" t="s">
        <v>5919</v>
      </c>
      <c r="D297" s="1" t="s">
        <v>5957</v>
      </c>
      <c r="E297" s="1" t="s">
        <v>5573</v>
      </c>
      <c r="F297" s="1" t="s">
        <v>4518</v>
      </c>
      <c r="G297" s="1" t="s">
        <v>4518</v>
      </c>
      <c r="H297" s="1" t="s">
        <v>4518</v>
      </c>
      <c r="I297" s="1" t="s">
        <v>4518</v>
      </c>
      <c r="J297" s="1" t="s">
        <v>5568</v>
      </c>
      <c r="K297" s="1" t="s">
        <v>4518</v>
      </c>
      <c r="L297" s="1" t="s">
        <v>4518</v>
      </c>
      <c r="M297" s="1" t="s">
        <v>4518</v>
      </c>
      <c r="N297" s="1" t="s">
        <v>5568</v>
      </c>
      <c r="O297" s="1" t="s">
        <v>4518</v>
      </c>
      <c r="P297" s="1" t="s">
        <v>4518</v>
      </c>
      <c r="Q297" s="1" t="s">
        <v>4518</v>
      </c>
    </row>
    <row r="298" spans="1:17" x14ac:dyDescent="0.2">
      <c r="A298" s="1" t="s">
        <v>5958</v>
      </c>
      <c r="B298" s="1" t="s">
        <v>289</v>
      </c>
      <c r="C298" s="1" t="s">
        <v>5919</v>
      </c>
      <c r="D298" s="1" t="s">
        <v>5959</v>
      </c>
      <c r="E298" s="1" t="s">
        <v>7442</v>
      </c>
      <c r="F298" s="1" t="s">
        <v>4518</v>
      </c>
      <c r="G298" s="1" t="s">
        <v>5568</v>
      </c>
      <c r="H298" s="1" t="s">
        <v>4518</v>
      </c>
      <c r="I298" s="1" t="s">
        <v>4518</v>
      </c>
      <c r="J298" s="1" t="s">
        <v>5568</v>
      </c>
      <c r="K298" s="1" t="s">
        <v>4518</v>
      </c>
      <c r="L298" s="1" t="s">
        <v>4518</v>
      </c>
      <c r="M298" s="1" t="s">
        <v>4518</v>
      </c>
      <c r="N298" s="1" t="s">
        <v>4518</v>
      </c>
      <c r="O298" s="1" t="s">
        <v>4518</v>
      </c>
      <c r="P298" s="1" t="s">
        <v>4518</v>
      </c>
      <c r="Q298" s="1" t="s">
        <v>4518</v>
      </c>
    </row>
    <row r="299" spans="1:17" x14ac:dyDescent="0.2">
      <c r="A299" s="1" t="s">
        <v>6701</v>
      </c>
      <c r="C299" s="1" t="s">
        <v>5919</v>
      </c>
      <c r="E299" s="1" t="s">
        <v>52</v>
      </c>
      <c r="F299" s="1" t="s">
        <v>4518</v>
      </c>
      <c r="G299" s="1" t="s">
        <v>4518</v>
      </c>
      <c r="H299" s="1" t="s">
        <v>4518</v>
      </c>
      <c r="I299" s="1" t="s">
        <v>4518</v>
      </c>
      <c r="J299" s="1" t="s">
        <v>4518</v>
      </c>
      <c r="K299" s="1" t="s">
        <v>4518</v>
      </c>
      <c r="L299" s="1" t="s">
        <v>4518</v>
      </c>
      <c r="M299" s="1" t="s">
        <v>4518</v>
      </c>
      <c r="N299" s="1" t="s">
        <v>5568</v>
      </c>
      <c r="O299" s="1" t="s">
        <v>4518</v>
      </c>
      <c r="P299" s="1" t="s">
        <v>4518</v>
      </c>
      <c r="Q299" s="1" t="s">
        <v>4518</v>
      </c>
    </row>
    <row r="300" spans="1:17" x14ac:dyDescent="0.2">
      <c r="A300" s="1" t="s">
        <v>5960</v>
      </c>
      <c r="B300" s="1" t="s">
        <v>1170</v>
      </c>
      <c r="C300" s="1" t="s">
        <v>5919</v>
      </c>
      <c r="D300" s="1" t="s">
        <v>5961</v>
      </c>
      <c r="E300" s="1" t="s">
        <v>52</v>
      </c>
      <c r="F300" s="1" t="s">
        <v>4518</v>
      </c>
      <c r="G300" s="1" t="s">
        <v>4518</v>
      </c>
      <c r="H300" s="1" t="s">
        <v>4518</v>
      </c>
      <c r="I300" s="1" t="s">
        <v>4518</v>
      </c>
      <c r="J300" s="1" t="s">
        <v>4518</v>
      </c>
      <c r="K300" s="1" t="s">
        <v>4518</v>
      </c>
      <c r="L300" s="1" t="s">
        <v>4518</v>
      </c>
      <c r="M300" s="1" t="s">
        <v>4518</v>
      </c>
      <c r="N300" s="1" t="s">
        <v>5568</v>
      </c>
      <c r="O300" s="1" t="s">
        <v>4518</v>
      </c>
      <c r="P300" s="1" t="s">
        <v>4518</v>
      </c>
      <c r="Q300" s="1" t="s">
        <v>4518</v>
      </c>
    </row>
    <row r="301" spans="1:17" x14ac:dyDescent="0.2">
      <c r="A301" s="1" t="s">
        <v>5962</v>
      </c>
      <c r="B301" s="1" t="s">
        <v>1172</v>
      </c>
      <c r="C301" s="1" t="s">
        <v>5919</v>
      </c>
      <c r="E301" s="1" t="s">
        <v>52</v>
      </c>
      <c r="F301" s="1" t="s">
        <v>4518</v>
      </c>
      <c r="G301" s="1" t="s">
        <v>4518</v>
      </c>
      <c r="H301" s="1" t="s">
        <v>4518</v>
      </c>
      <c r="I301" s="1" t="s">
        <v>4518</v>
      </c>
      <c r="J301" s="1" t="s">
        <v>4518</v>
      </c>
      <c r="K301" s="1" t="s">
        <v>4518</v>
      </c>
      <c r="L301" s="1" t="s">
        <v>4518</v>
      </c>
      <c r="M301" s="1" t="s">
        <v>4518</v>
      </c>
      <c r="N301" s="1" t="s">
        <v>5568</v>
      </c>
      <c r="O301" s="1" t="s">
        <v>4518</v>
      </c>
      <c r="P301" s="1" t="s">
        <v>4518</v>
      </c>
      <c r="Q301" s="1" t="s">
        <v>4518</v>
      </c>
    </row>
    <row r="302" spans="1:17" x14ac:dyDescent="0.2">
      <c r="A302" s="1" t="s">
        <v>5963</v>
      </c>
      <c r="B302" s="1" t="s">
        <v>1171</v>
      </c>
      <c r="C302" s="1" t="s">
        <v>5919</v>
      </c>
      <c r="E302" s="1" t="s">
        <v>52</v>
      </c>
      <c r="F302" s="1" t="s">
        <v>4518</v>
      </c>
      <c r="G302" s="1" t="s">
        <v>4518</v>
      </c>
      <c r="H302" s="1" t="s">
        <v>4518</v>
      </c>
      <c r="I302" s="1" t="s">
        <v>4518</v>
      </c>
      <c r="J302" s="1" t="s">
        <v>4518</v>
      </c>
      <c r="K302" s="1" t="s">
        <v>4518</v>
      </c>
      <c r="L302" s="1" t="s">
        <v>4518</v>
      </c>
      <c r="M302" s="1" t="s">
        <v>4518</v>
      </c>
      <c r="N302" s="1" t="s">
        <v>5568</v>
      </c>
      <c r="O302" s="1" t="s">
        <v>4518</v>
      </c>
      <c r="P302" s="1" t="s">
        <v>4518</v>
      </c>
      <c r="Q302" s="1" t="s">
        <v>4518</v>
      </c>
    </row>
    <row r="303" spans="1:17" x14ac:dyDescent="0.2">
      <c r="A303" s="1" t="s">
        <v>6702</v>
      </c>
      <c r="B303" s="1" t="s">
        <v>6602</v>
      </c>
      <c r="C303" s="1" t="s">
        <v>5919</v>
      </c>
      <c r="E303" s="1" t="s">
        <v>52</v>
      </c>
      <c r="F303" s="1" t="s">
        <v>4518</v>
      </c>
      <c r="G303" s="1" t="s">
        <v>4518</v>
      </c>
      <c r="H303" s="1" t="s">
        <v>4518</v>
      </c>
      <c r="I303" s="1" t="s">
        <v>4518</v>
      </c>
      <c r="J303" s="1" t="s">
        <v>4518</v>
      </c>
      <c r="K303" s="1" t="s">
        <v>4518</v>
      </c>
      <c r="L303" s="1" t="s">
        <v>4518</v>
      </c>
      <c r="M303" s="1" t="s">
        <v>4518</v>
      </c>
      <c r="N303" s="1" t="s">
        <v>5568</v>
      </c>
      <c r="O303" s="1" t="s">
        <v>4518</v>
      </c>
      <c r="P303" s="1" t="s">
        <v>4518</v>
      </c>
      <c r="Q303" s="1" t="s">
        <v>4518</v>
      </c>
    </row>
    <row r="304" spans="1:17" x14ac:dyDescent="0.2">
      <c r="A304" s="1" t="s">
        <v>5964</v>
      </c>
      <c r="B304" s="1" t="s">
        <v>5965</v>
      </c>
      <c r="C304" s="1" t="s">
        <v>5919</v>
      </c>
      <c r="E304" s="1" t="s">
        <v>52</v>
      </c>
      <c r="F304" s="1" t="s">
        <v>4518</v>
      </c>
      <c r="G304" s="1" t="s">
        <v>4518</v>
      </c>
      <c r="H304" s="1" t="s">
        <v>4518</v>
      </c>
      <c r="I304" s="1" t="s">
        <v>4518</v>
      </c>
      <c r="J304" s="1" t="s">
        <v>4518</v>
      </c>
      <c r="K304" s="1" t="s">
        <v>4518</v>
      </c>
      <c r="L304" s="1" t="s">
        <v>4518</v>
      </c>
      <c r="M304" s="1" t="s">
        <v>4518</v>
      </c>
      <c r="N304" s="1" t="s">
        <v>5568</v>
      </c>
      <c r="O304" s="1" t="s">
        <v>4518</v>
      </c>
      <c r="P304" s="1" t="s">
        <v>4518</v>
      </c>
      <c r="Q304" s="1" t="s">
        <v>4518</v>
      </c>
    </row>
    <row r="305" spans="1:17" x14ac:dyDescent="0.2">
      <c r="C305" s="7" t="s">
        <v>5966</v>
      </c>
      <c r="F305" s="1" t="s">
        <v>4518</v>
      </c>
      <c r="G305" s="1" t="s">
        <v>4518</v>
      </c>
      <c r="H305" s="1" t="s">
        <v>4518</v>
      </c>
      <c r="I305" s="1" t="s">
        <v>4518</v>
      </c>
      <c r="J305" s="1" t="s">
        <v>4518</v>
      </c>
      <c r="K305" s="1" t="s">
        <v>4518</v>
      </c>
      <c r="L305" s="1" t="s">
        <v>4518</v>
      </c>
      <c r="M305" s="1" t="s">
        <v>4518</v>
      </c>
      <c r="N305" s="1" t="s">
        <v>4518</v>
      </c>
      <c r="O305" s="1" t="s">
        <v>4518</v>
      </c>
      <c r="P305" s="1" t="s">
        <v>4518</v>
      </c>
      <c r="Q305" s="1" t="s">
        <v>4518</v>
      </c>
    </row>
    <row r="306" spans="1:17" x14ac:dyDescent="0.2">
      <c r="A306" s="1" t="s">
        <v>5967</v>
      </c>
      <c r="B306" s="1" t="s">
        <v>1173</v>
      </c>
      <c r="C306" s="1" t="s">
        <v>5919</v>
      </c>
      <c r="D306" s="1" t="s">
        <v>5968</v>
      </c>
      <c r="E306" s="1" t="s">
        <v>52</v>
      </c>
      <c r="F306" s="1" t="s">
        <v>4518</v>
      </c>
      <c r="G306" s="1" t="s">
        <v>4518</v>
      </c>
      <c r="H306" s="1" t="s">
        <v>4518</v>
      </c>
      <c r="I306" s="1" t="s">
        <v>4518</v>
      </c>
      <c r="J306" s="1" t="s">
        <v>4518</v>
      </c>
      <c r="K306" s="1" t="s">
        <v>4518</v>
      </c>
      <c r="L306" s="1" t="s">
        <v>4518</v>
      </c>
      <c r="M306" s="1" t="s">
        <v>4518</v>
      </c>
      <c r="N306" s="1" t="s">
        <v>5568</v>
      </c>
      <c r="O306" s="1" t="s">
        <v>4518</v>
      </c>
      <c r="P306" s="1" t="s">
        <v>4518</v>
      </c>
      <c r="Q306" s="1" t="s">
        <v>4518</v>
      </c>
    </row>
    <row r="307" spans="1:17" x14ac:dyDescent="0.2">
      <c r="A307" s="1" t="s">
        <v>5969</v>
      </c>
      <c r="B307" s="1" t="s">
        <v>1174</v>
      </c>
      <c r="C307" s="1" t="s">
        <v>5919</v>
      </c>
      <c r="D307" s="1" t="s">
        <v>5970</v>
      </c>
      <c r="E307" s="1" t="s">
        <v>7445</v>
      </c>
      <c r="F307" s="1" t="s">
        <v>4518</v>
      </c>
      <c r="G307" s="1" t="s">
        <v>5568</v>
      </c>
      <c r="H307" s="1" t="s">
        <v>4518</v>
      </c>
      <c r="I307" s="1" t="s">
        <v>4518</v>
      </c>
      <c r="J307" s="1" t="s">
        <v>5568</v>
      </c>
      <c r="K307" s="1" t="s">
        <v>4518</v>
      </c>
      <c r="L307" s="1" t="s">
        <v>4518</v>
      </c>
      <c r="M307" s="1" t="s">
        <v>4518</v>
      </c>
      <c r="N307" s="1" t="s">
        <v>5568</v>
      </c>
      <c r="O307" s="1" t="s">
        <v>4518</v>
      </c>
      <c r="P307" s="1" t="s">
        <v>4518</v>
      </c>
      <c r="Q307" s="1" t="s">
        <v>4518</v>
      </c>
    </row>
    <row r="308" spans="1:17" x14ac:dyDescent="0.2">
      <c r="A308" s="1" t="s">
        <v>5971</v>
      </c>
      <c r="B308" s="1" t="s">
        <v>5972</v>
      </c>
      <c r="C308" s="1" t="s">
        <v>5919</v>
      </c>
      <c r="E308" s="1" t="s">
        <v>7442</v>
      </c>
      <c r="F308" s="1" t="s">
        <v>4518</v>
      </c>
      <c r="G308" s="1" t="s">
        <v>5568</v>
      </c>
      <c r="H308" s="1" t="s">
        <v>4518</v>
      </c>
      <c r="I308" s="1" t="s">
        <v>4518</v>
      </c>
      <c r="J308" s="1" t="s">
        <v>5568</v>
      </c>
      <c r="K308" s="1" t="s">
        <v>4518</v>
      </c>
      <c r="L308" s="1" t="s">
        <v>4518</v>
      </c>
      <c r="M308" s="1" t="s">
        <v>4518</v>
      </c>
      <c r="N308" s="1" t="s">
        <v>4518</v>
      </c>
      <c r="O308" s="1" t="s">
        <v>4518</v>
      </c>
      <c r="P308" s="1" t="s">
        <v>4518</v>
      </c>
      <c r="Q308" s="1" t="s">
        <v>4518</v>
      </c>
    </row>
    <row r="309" spans="1:17" x14ac:dyDescent="0.2">
      <c r="A309" s="1" t="s">
        <v>5973</v>
      </c>
      <c r="B309" s="1" t="s">
        <v>5974</v>
      </c>
      <c r="C309" s="1" t="s">
        <v>5919</v>
      </c>
      <c r="D309" s="1" t="s">
        <v>5975</v>
      </c>
      <c r="E309" s="1" t="s">
        <v>44</v>
      </c>
      <c r="F309" s="1" t="s">
        <v>4518</v>
      </c>
      <c r="G309" s="1" t="s">
        <v>4518</v>
      </c>
      <c r="H309" s="1" t="s">
        <v>4518</v>
      </c>
      <c r="I309" s="1" t="s">
        <v>4518</v>
      </c>
      <c r="J309" s="1" t="s">
        <v>5568</v>
      </c>
      <c r="K309" s="1" t="s">
        <v>4518</v>
      </c>
      <c r="L309" s="1" t="s">
        <v>4518</v>
      </c>
      <c r="M309" s="1" t="s">
        <v>4518</v>
      </c>
      <c r="N309" s="1" t="s">
        <v>4518</v>
      </c>
      <c r="O309" s="1" t="s">
        <v>4518</v>
      </c>
      <c r="P309" s="1" t="s">
        <v>4518</v>
      </c>
      <c r="Q309" s="1" t="s">
        <v>4518</v>
      </c>
    </row>
    <row r="310" spans="1:17" x14ac:dyDescent="0.2">
      <c r="A310" s="1" t="s">
        <v>6703</v>
      </c>
      <c r="B310" s="1" t="s">
        <v>6704</v>
      </c>
      <c r="C310" s="1" t="s">
        <v>5919</v>
      </c>
      <c r="E310" s="1" t="s">
        <v>7442</v>
      </c>
      <c r="F310" s="1" t="s">
        <v>4518</v>
      </c>
      <c r="G310" s="1" t="s">
        <v>5568</v>
      </c>
      <c r="H310" s="1" t="s">
        <v>4518</v>
      </c>
      <c r="I310" s="1" t="s">
        <v>4518</v>
      </c>
      <c r="J310" s="1" t="s">
        <v>5568</v>
      </c>
      <c r="K310" s="1" t="s">
        <v>4518</v>
      </c>
      <c r="L310" s="1" t="s">
        <v>4518</v>
      </c>
      <c r="M310" s="1" t="s">
        <v>4518</v>
      </c>
      <c r="N310" s="1" t="s">
        <v>4518</v>
      </c>
      <c r="O310" s="1" t="s">
        <v>4518</v>
      </c>
      <c r="P310" s="1" t="s">
        <v>4518</v>
      </c>
      <c r="Q310" s="1" t="s">
        <v>4518</v>
      </c>
    </row>
    <row r="311" spans="1:17" x14ac:dyDescent="0.2">
      <c r="A311" s="1" t="s">
        <v>5976</v>
      </c>
      <c r="B311" s="1" t="s">
        <v>293</v>
      </c>
      <c r="C311" s="1" t="s">
        <v>5919</v>
      </c>
      <c r="E311" s="1" t="s">
        <v>44</v>
      </c>
      <c r="F311" s="1" t="s">
        <v>4518</v>
      </c>
      <c r="G311" s="1" t="s">
        <v>4518</v>
      </c>
      <c r="H311" s="1" t="s">
        <v>4518</v>
      </c>
      <c r="I311" s="1" t="s">
        <v>4518</v>
      </c>
      <c r="J311" s="1" t="s">
        <v>5568</v>
      </c>
      <c r="K311" s="1" t="s">
        <v>4518</v>
      </c>
      <c r="L311" s="1" t="s">
        <v>4518</v>
      </c>
      <c r="M311" s="1" t="s">
        <v>4518</v>
      </c>
      <c r="N311" s="1" t="s">
        <v>4518</v>
      </c>
      <c r="O311" s="1" t="s">
        <v>4518</v>
      </c>
      <c r="P311" s="1" t="s">
        <v>4518</v>
      </c>
      <c r="Q311" s="1" t="s">
        <v>4518</v>
      </c>
    </row>
    <row r="312" spans="1:17" x14ac:dyDescent="0.2">
      <c r="A312" s="1" t="s">
        <v>5977</v>
      </c>
      <c r="B312" s="1" t="s">
        <v>294</v>
      </c>
      <c r="C312" s="1" t="s">
        <v>5919</v>
      </c>
      <c r="E312" s="1" t="s">
        <v>44</v>
      </c>
      <c r="F312" s="1" t="s">
        <v>4518</v>
      </c>
      <c r="G312" s="1" t="s">
        <v>4518</v>
      </c>
      <c r="H312" s="1" t="s">
        <v>4518</v>
      </c>
      <c r="I312" s="1" t="s">
        <v>4518</v>
      </c>
      <c r="J312" s="1" t="s">
        <v>5568</v>
      </c>
      <c r="K312" s="1" t="s">
        <v>4518</v>
      </c>
      <c r="L312" s="1" t="s">
        <v>4518</v>
      </c>
      <c r="M312" s="1" t="s">
        <v>4518</v>
      </c>
      <c r="N312" s="1" t="s">
        <v>4518</v>
      </c>
      <c r="O312" s="1" t="s">
        <v>4518</v>
      </c>
      <c r="P312" s="1" t="s">
        <v>4518</v>
      </c>
      <c r="Q312" s="1" t="s">
        <v>4518</v>
      </c>
    </row>
    <row r="313" spans="1:17" x14ac:dyDescent="0.2">
      <c r="A313" s="1" t="s">
        <v>5978</v>
      </c>
      <c r="B313" s="1" t="s">
        <v>5979</v>
      </c>
      <c r="C313" s="1" t="s">
        <v>5919</v>
      </c>
      <c r="E313" s="1" t="s">
        <v>44</v>
      </c>
      <c r="F313" s="1" t="s">
        <v>4518</v>
      </c>
      <c r="G313" s="1" t="s">
        <v>4518</v>
      </c>
      <c r="H313" s="1" t="s">
        <v>4518</v>
      </c>
      <c r="I313" s="1" t="s">
        <v>4518</v>
      </c>
      <c r="J313" s="1" t="s">
        <v>5568</v>
      </c>
      <c r="K313" s="1" t="s">
        <v>4518</v>
      </c>
      <c r="L313" s="1" t="s">
        <v>4518</v>
      </c>
      <c r="M313" s="1" t="s">
        <v>4518</v>
      </c>
      <c r="N313" s="1" t="s">
        <v>4518</v>
      </c>
      <c r="O313" s="1" t="s">
        <v>4518</v>
      </c>
      <c r="P313" s="1" t="s">
        <v>4518</v>
      </c>
      <c r="Q313" s="1" t="s">
        <v>4518</v>
      </c>
    </row>
    <row r="314" spans="1:17" x14ac:dyDescent="0.2">
      <c r="C314" s="7" t="s">
        <v>5980</v>
      </c>
      <c r="F314" s="1" t="s">
        <v>4518</v>
      </c>
      <c r="G314" s="1" t="s">
        <v>4518</v>
      </c>
      <c r="H314" s="1" t="s">
        <v>4518</v>
      </c>
      <c r="I314" s="1" t="s">
        <v>4518</v>
      </c>
      <c r="J314" s="1" t="s">
        <v>4518</v>
      </c>
      <c r="K314" s="1" t="s">
        <v>4518</v>
      </c>
      <c r="L314" s="1" t="s">
        <v>4518</v>
      </c>
      <c r="M314" s="1" t="s">
        <v>4518</v>
      </c>
      <c r="N314" s="1" t="s">
        <v>4518</v>
      </c>
      <c r="O314" s="1" t="s">
        <v>4518</v>
      </c>
      <c r="P314" s="1" t="s">
        <v>4518</v>
      </c>
      <c r="Q314" s="1" t="s">
        <v>4518</v>
      </c>
    </row>
    <row r="315" spans="1:17" x14ac:dyDescent="0.2">
      <c r="A315" s="1" t="s">
        <v>5981</v>
      </c>
      <c r="B315" s="1" t="s">
        <v>1175</v>
      </c>
      <c r="C315" s="1" t="s">
        <v>5919</v>
      </c>
      <c r="D315" s="1" t="s">
        <v>5982</v>
      </c>
      <c r="E315" s="1" t="s">
        <v>52</v>
      </c>
      <c r="F315" s="1" t="s">
        <v>4518</v>
      </c>
      <c r="G315" s="1" t="s">
        <v>4518</v>
      </c>
      <c r="H315" s="1" t="s">
        <v>4518</v>
      </c>
      <c r="I315" s="1" t="s">
        <v>4518</v>
      </c>
      <c r="J315" s="1" t="s">
        <v>4518</v>
      </c>
      <c r="K315" s="1" t="s">
        <v>4518</v>
      </c>
      <c r="L315" s="1" t="s">
        <v>4518</v>
      </c>
      <c r="M315" s="1" t="s">
        <v>4518</v>
      </c>
      <c r="N315" s="1" t="s">
        <v>5568</v>
      </c>
      <c r="O315" s="1" t="s">
        <v>4518</v>
      </c>
      <c r="P315" s="1" t="s">
        <v>4518</v>
      </c>
      <c r="Q315" s="1" t="s">
        <v>4518</v>
      </c>
    </row>
    <row r="316" spans="1:17" x14ac:dyDescent="0.2">
      <c r="A316" s="1" t="s">
        <v>7615</v>
      </c>
      <c r="B316" s="1" t="s">
        <v>6858</v>
      </c>
      <c r="C316" s="1" t="s">
        <v>5919</v>
      </c>
      <c r="E316" s="1" t="s">
        <v>52</v>
      </c>
      <c r="F316" s="1" t="s">
        <v>4518</v>
      </c>
      <c r="G316" s="1" t="s">
        <v>4518</v>
      </c>
      <c r="H316" s="1" t="s">
        <v>4518</v>
      </c>
      <c r="I316" s="1" t="s">
        <v>4518</v>
      </c>
      <c r="J316" s="1" t="s">
        <v>4518</v>
      </c>
      <c r="K316" s="1" t="s">
        <v>4518</v>
      </c>
      <c r="L316" s="1" t="s">
        <v>4518</v>
      </c>
      <c r="M316" s="1" t="s">
        <v>4518</v>
      </c>
      <c r="N316" s="1" t="s">
        <v>5568</v>
      </c>
      <c r="O316" s="1" t="s">
        <v>4518</v>
      </c>
      <c r="P316" s="1" t="s">
        <v>4518</v>
      </c>
      <c r="Q316" s="1" t="s">
        <v>4518</v>
      </c>
    </row>
    <row r="317" spans="1:17" x14ac:dyDescent="0.2">
      <c r="A317" s="1" t="s">
        <v>5983</v>
      </c>
      <c r="B317" s="1" t="s">
        <v>1176</v>
      </c>
      <c r="C317" s="1" t="s">
        <v>5919</v>
      </c>
      <c r="E317" s="1" t="s">
        <v>52</v>
      </c>
      <c r="F317" s="1" t="s">
        <v>4518</v>
      </c>
      <c r="G317" s="1" t="s">
        <v>4518</v>
      </c>
      <c r="H317" s="1" t="s">
        <v>4518</v>
      </c>
      <c r="I317" s="1" t="s">
        <v>4518</v>
      </c>
      <c r="J317" s="1" t="s">
        <v>4518</v>
      </c>
      <c r="K317" s="1" t="s">
        <v>4518</v>
      </c>
      <c r="L317" s="1" t="s">
        <v>4518</v>
      </c>
      <c r="M317" s="1" t="s">
        <v>4518</v>
      </c>
      <c r="N317" s="1" t="s">
        <v>5568</v>
      </c>
      <c r="O317" s="1" t="s">
        <v>4518</v>
      </c>
      <c r="P317" s="1" t="s">
        <v>4518</v>
      </c>
      <c r="Q317" s="1" t="s">
        <v>4518</v>
      </c>
    </row>
    <row r="318" spans="1:17" x14ac:dyDescent="0.2">
      <c r="C318" s="7" t="s">
        <v>5984</v>
      </c>
      <c r="F318" s="1" t="s">
        <v>4518</v>
      </c>
      <c r="G318" s="1" t="s">
        <v>4518</v>
      </c>
      <c r="H318" s="1" t="s">
        <v>4518</v>
      </c>
      <c r="I318" s="1" t="s">
        <v>4518</v>
      </c>
      <c r="J318" s="1" t="s">
        <v>4518</v>
      </c>
      <c r="K318" s="1" t="s">
        <v>4518</v>
      </c>
      <c r="L318" s="1" t="s">
        <v>4518</v>
      </c>
      <c r="M318" s="1" t="s">
        <v>4518</v>
      </c>
      <c r="N318" s="1" t="s">
        <v>4518</v>
      </c>
      <c r="O318" s="1" t="s">
        <v>4518</v>
      </c>
      <c r="P318" s="1" t="s">
        <v>4518</v>
      </c>
      <c r="Q318" s="1" t="s">
        <v>4518</v>
      </c>
    </row>
    <row r="319" spans="1:17" x14ac:dyDescent="0.2">
      <c r="A319" s="1" t="s">
        <v>5985</v>
      </c>
      <c r="B319" s="1" t="s">
        <v>1178</v>
      </c>
      <c r="C319" s="1" t="s">
        <v>5578</v>
      </c>
      <c r="E319" s="1" t="s">
        <v>52</v>
      </c>
      <c r="F319" s="1" t="s">
        <v>4518</v>
      </c>
      <c r="G319" s="1" t="s">
        <v>4518</v>
      </c>
      <c r="H319" s="1" t="s">
        <v>4518</v>
      </c>
      <c r="I319" s="1" t="s">
        <v>4518</v>
      </c>
      <c r="J319" s="1" t="s">
        <v>4518</v>
      </c>
      <c r="K319" s="1" t="s">
        <v>4518</v>
      </c>
      <c r="L319" s="1" t="s">
        <v>4518</v>
      </c>
      <c r="M319" s="1" t="s">
        <v>4518</v>
      </c>
      <c r="N319" s="1" t="s">
        <v>5568</v>
      </c>
      <c r="O319" s="1" t="s">
        <v>4518</v>
      </c>
      <c r="P319" s="1" t="s">
        <v>4518</v>
      </c>
      <c r="Q319" s="1" t="s">
        <v>4518</v>
      </c>
    </row>
    <row r="320" spans="1:17" x14ac:dyDescent="0.2">
      <c r="A320" s="1" t="s">
        <v>5986</v>
      </c>
      <c r="B320" s="1" t="s">
        <v>5987</v>
      </c>
      <c r="C320" s="1" t="s">
        <v>5578</v>
      </c>
      <c r="E320" s="1" t="s">
        <v>52</v>
      </c>
      <c r="F320" s="1" t="s">
        <v>4518</v>
      </c>
      <c r="G320" s="1" t="s">
        <v>4518</v>
      </c>
      <c r="H320" s="1" t="s">
        <v>4518</v>
      </c>
      <c r="I320" s="1" t="s">
        <v>4518</v>
      </c>
      <c r="J320" s="1" t="s">
        <v>4518</v>
      </c>
      <c r="K320" s="1" t="s">
        <v>4518</v>
      </c>
      <c r="L320" s="1" t="s">
        <v>4518</v>
      </c>
      <c r="M320" s="1" t="s">
        <v>4518</v>
      </c>
      <c r="N320" s="1" t="s">
        <v>5568</v>
      </c>
      <c r="O320" s="1" t="s">
        <v>4518</v>
      </c>
      <c r="P320" s="1" t="s">
        <v>4518</v>
      </c>
      <c r="Q320" s="1" t="s">
        <v>4518</v>
      </c>
    </row>
    <row r="321" spans="1:17" x14ac:dyDescent="0.2">
      <c r="B321" s="7" t="s">
        <v>5988</v>
      </c>
      <c r="F321" s="1" t="s">
        <v>4518</v>
      </c>
      <c r="G321" s="1" t="s">
        <v>4518</v>
      </c>
      <c r="H321" s="1" t="s">
        <v>4518</v>
      </c>
      <c r="I321" s="1" t="s">
        <v>4518</v>
      </c>
      <c r="J321" s="1" t="s">
        <v>4518</v>
      </c>
      <c r="K321" s="1" t="s">
        <v>4518</v>
      </c>
      <c r="L321" s="1" t="s">
        <v>4518</v>
      </c>
      <c r="M321" s="1" t="s">
        <v>4518</v>
      </c>
      <c r="N321" s="1" t="s">
        <v>4518</v>
      </c>
      <c r="O321" s="1" t="s">
        <v>4518</v>
      </c>
      <c r="P321" s="1" t="s">
        <v>4518</v>
      </c>
      <c r="Q321" s="1" t="s">
        <v>4518</v>
      </c>
    </row>
    <row r="322" spans="1:17" x14ac:dyDescent="0.2">
      <c r="C322" s="7" t="s">
        <v>5989</v>
      </c>
      <c r="F322" s="1" t="s">
        <v>4518</v>
      </c>
      <c r="G322" s="1" t="s">
        <v>4518</v>
      </c>
      <c r="H322" s="1" t="s">
        <v>4518</v>
      </c>
      <c r="I322" s="1" t="s">
        <v>4518</v>
      </c>
      <c r="J322" s="1" t="s">
        <v>4518</v>
      </c>
      <c r="K322" s="1" t="s">
        <v>4518</v>
      </c>
      <c r="L322" s="1" t="s">
        <v>4518</v>
      </c>
      <c r="M322" s="1" t="s">
        <v>4518</v>
      </c>
      <c r="N322" s="1" t="s">
        <v>4518</v>
      </c>
      <c r="O322" s="1" t="s">
        <v>4518</v>
      </c>
      <c r="P322" s="1" t="s">
        <v>4518</v>
      </c>
      <c r="Q322" s="1" t="s">
        <v>4518</v>
      </c>
    </row>
    <row r="323" spans="1:17" x14ac:dyDescent="0.2">
      <c r="A323" s="1" t="s">
        <v>5990</v>
      </c>
      <c r="B323" s="1" t="s">
        <v>177</v>
      </c>
      <c r="C323" s="1" t="s">
        <v>5578</v>
      </c>
      <c r="E323" s="1" t="s">
        <v>7445</v>
      </c>
      <c r="F323" s="1" t="s">
        <v>4518</v>
      </c>
      <c r="G323" s="1" t="s">
        <v>5568</v>
      </c>
      <c r="H323" s="1" t="s">
        <v>4518</v>
      </c>
      <c r="I323" s="1" t="s">
        <v>4518</v>
      </c>
      <c r="J323" s="1" t="s">
        <v>5568</v>
      </c>
      <c r="K323" s="1" t="s">
        <v>4518</v>
      </c>
      <c r="L323" s="1" t="s">
        <v>4518</v>
      </c>
      <c r="M323" s="1" t="s">
        <v>4518</v>
      </c>
      <c r="N323" s="1" t="s">
        <v>5568</v>
      </c>
      <c r="O323" s="1" t="s">
        <v>4518</v>
      </c>
      <c r="P323" s="1" t="s">
        <v>4518</v>
      </c>
      <c r="Q323" s="1" t="s">
        <v>4518</v>
      </c>
    </row>
    <row r="324" spans="1:17" x14ac:dyDescent="0.2">
      <c r="A324" s="1" t="s">
        <v>6705</v>
      </c>
      <c r="B324" s="1" t="s">
        <v>6706</v>
      </c>
      <c r="C324" s="1" t="s">
        <v>5578</v>
      </c>
      <c r="E324" s="1" t="s">
        <v>52</v>
      </c>
      <c r="F324" s="1" t="s">
        <v>4518</v>
      </c>
      <c r="G324" s="1" t="s">
        <v>4518</v>
      </c>
      <c r="H324" s="1" t="s">
        <v>4518</v>
      </c>
      <c r="I324" s="1" t="s">
        <v>4518</v>
      </c>
      <c r="J324" s="1" t="s">
        <v>4518</v>
      </c>
      <c r="K324" s="1" t="s">
        <v>4518</v>
      </c>
      <c r="L324" s="1" t="s">
        <v>4518</v>
      </c>
      <c r="M324" s="1" t="s">
        <v>4518</v>
      </c>
      <c r="N324" s="1" t="s">
        <v>5568</v>
      </c>
      <c r="O324" s="1" t="s">
        <v>4518</v>
      </c>
      <c r="P324" s="1" t="s">
        <v>4518</v>
      </c>
      <c r="Q324" s="1" t="s">
        <v>4518</v>
      </c>
    </row>
    <row r="325" spans="1:17" x14ac:dyDescent="0.2">
      <c r="C325" s="7" t="s">
        <v>5991</v>
      </c>
      <c r="F325" s="1" t="s">
        <v>4518</v>
      </c>
      <c r="G325" s="1" t="s">
        <v>4518</v>
      </c>
      <c r="H325" s="1" t="s">
        <v>4518</v>
      </c>
      <c r="I325" s="1" t="s">
        <v>4518</v>
      </c>
      <c r="J325" s="1" t="s">
        <v>4518</v>
      </c>
      <c r="K325" s="1" t="s">
        <v>4518</v>
      </c>
      <c r="L325" s="1" t="s">
        <v>4518</v>
      </c>
      <c r="M325" s="1" t="s">
        <v>4518</v>
      </c>
      <c r="N325" s="1" t="s">
        <v>4518</v>
      </c>
      <c r="O325" s="1" t="s">
        <v>4518</v>
      </c>
      <c r="P325" s="1" t="s">
        <v>4518</v>
      </c>
      <c r="Q325" s="1" t="s">
        <v>4518</v>
      </c>
    </row>
    <row r="326" spans="1:17" x14ac:dyDescent="0.2">
      <c r="A326" s="1" t="s">
        <v>5992</v>
      </c>
      <c r="B326" s="1" t="s">
        <v>178</v>
      </c>
      <c r="C326" s="1" t="s">
        <v>5578</v>
      </c>
      <c r="E326" s="1" t="s">
        <v>7445</v>
      </c>
      <c r="F326" s="1" t="s">
        <v>4518</v>
      </c>
      <c r="G326" s="1" t="s">
        <v>5568</v>
      </c>
      <c r="H326" s="1" t="s">
        <v>4518</v>
      </c>
      <c r="I326" s="1" t="s">
        <v>4518</v>
      </c>
      <c r="J326" s="1" t="s">
        <v>5568</v>
      </c>
      <c r="K326" s="1" t="s">
        <v>4518</v>
      </c>
      <c r="L326" s="1" t="s">
        <v>4518</v>
      </c>
      <c r="M326" s="1" t="s">
        <v>4518</v>
      </c>
      <c r="N326" s="1" t="s">
        <v>5568</v>
      </c>
      <c r="O326" s="1" t="s">
        <v>4518</v>
      </c>
      <c r="P326" s="1" t="s">
        <v>4518</v>
      </c>
      <c r="Q326" s="1" t="s">
        <v>4518</v>
      </c>
    </row>
    <row r="327" spans="1:17" x14ac:dyDescent="0.2">
      <c r="C327" s="7" t="s">
        <v>5993</v>
      </c>
      <c r="F327" s="1" t="s">
        <v>4518</v>
      </c>
      <c r="G327" s="1" t="s">
        <v>4518</v>
      </c>
      <c r="H327" s="1" t="s">
        <v>4518</v>
      </c>
      <c r="I327" s="1" t="s">
        <v>4518</v>
      </c>
      <c r="J327" s="1" t="s">
        <v>4518</v>
      </c>
      <c r="K327" s="1" t="s">
        <v>4518</v>
      </c>
      <c r="L327" s="1" t="s">
        <v>4518</v>
      </c>
      <c r="M327" s="1" t="s">
        <v>4518</v>
      </c>
      <c r="N327" s="1" t="s">
        <v>4518</v>
      </c>
      <c r="O327" s="1" t="s">
        <v>4518</v>
      </c>
      <c r="P327" s="1" t="s">
        <v>4518</v>
      </c>
      <c r="Q327" s="1" t="s">
        <v>4518</v>
      </c>
    </row>
    <row r="328" spans="1:17" x14ac:dyDescent="0.2">
      <c r="A328" s="1" t="s">
        <v>5994</v>
      </c>
      <c r="B328" s="1" t="s">
        <v>1185</v>
      </c>
      <c r="C328" s="1" t="s">
        <v>5919</v>
      </c>
      <c r="D328" s="1" t="s">
        <v>5995</v>
      </c>
      <c r="E328" s="1" t="s">
        <v>52</v>
      </c>
      <c r="F328" s="1" t="s">
        <v>4518</v>
      </c>
      <c r="G328" s="1" t="s">
        <v>4518</v>
      </c>
      <c r="H328" s="1" t="s">
        <v>4518</v>
      </c>
      <c r="I328" s="1" t="s">
        <v>4518</v>
      </c>
      <c r="J328" s="1" t="s">
        <v>4518</v>
      </c>
      <c r="K328" s="1" t="s">
        <v>4518</v>
      </c>
      <c r="L328" s="1" t="s">
        <v>4518</v>
      </c>
      <c r="M328" s="1" t="s">
        <v>4518</v>
      </c>
      <c r="N328" s="1" t="s">
        <v>5568</v>
      </c>
      <c r="O328" s="1" t="s">
        <v>4518</v>
      </c>
      <c r="P328" s="1" t="s">
        <v>4518</v>
      </c>
      <c r="Q328" s="1" t="s">
        <v>4518</v>
      </c>
    </row>
    <row r="329" spans="1:17" x14ac:dyDescent="0.2">
      <c r="A329" s="1" t="s">
        <v>5996</v>
      </c>
      <c r="B329" s="1" t="s">
        <v>5997</v>
      </c>
      <c r="C329" s="1" t="s">
        <v>5919</v>
      </c>
      <c r="E329" s="1" t="s">
        <v>44</v>
      </c>
      <c r="F329" s="1" t="s">
        <v>4518</v>
      </c>
      <c r="G329" s="1" t="s">
        <v>4518</v>
      </c>
      <c r="H329" s="1" t="s">
        <v>4518</v>
      </c>
      <c r="I329" s="1" t="s">
        <v>4518</v>
      </c>
      <c r="J329" s="1" t="s">
        <v>5568</v>
      </c>
      <c r="K329" s="1" t="s">
        <v>4518</v>
      </c>
      <c r="L329" s="1" t="s">
        <v>4518</v>
      </c>
      <c r="M329" s="1" t="s">
        <v>4518</v>
      </c>
      <c r="N329" s="1" t="s">
        <v>4518</v>
      </c>
      <c r="O329" s="1" t="s">
        <v>4518</v>
      </c>
      <c r="P329" s="1" t="s">
        <v>4518</v>
      </c>
      <c r="Q329" s="1" t="s">
        <v>4518</v>
      </c>
    </row>
    <row r="330" spans="1:17" x14ac:dyDescent="0.2">
      <c r="C330" s="7" t="s">
        <v>5998</v>
      </c>
      <c r="F330" s="1" t="s">
        <v>4518</v>
      </c>
      <c r="G330" s="1" t="s">
        <v>4518</v>
      </c>
      <c r="H330" s="1" t="s">
        <v>4518</v>
      </c>
      <c r="I330" s="1" t="s">
        <v>4518</v>
      </c>
      <c r="J330" s="1" t="s">
        <v>4518</v>
      </c>
      <c r="K330" s="1" t="s">
        <v>4518</v>
      </c>
      <c r="L330" s="1" t="s">
        <v>4518</v>
      </c>
      <c r="M330" s="1" t="s">
        <v>4518</v>
      </c>
      <c r="N330" s="1" t="s">
        <v>4518</v>
      </c>
      <c r="O330" s="1" t="s">
        <v>4518</v>
      </c>
      <c r="P330" s="1" t="s">
        <v>4518</v>
      </c>
      <c r="Q330" s="1" t="s">
        <v>4518</v>
      </c>
    </row>
    <row r="331" spans="1:17" x14ac:dyDescent="0.2">
      <c r="A331" s="1" t="s">
        <v>5999</v>
      </c>
      <c r="B331" s="1" t="s">
        <v>1179</v>
      </c>
      <c r="C331" s="1" t="s">
        <v>5578</v>
      </c>
      <c r="D331" s="1" t="s">
        <v>6000</v>
      </c>
      <c r="E331" s="1" t="s">
        <v>7449</v>
      </c>
      <c r="F331" s="1" t="s">
        <v>4518</v>
      </c>
      <c r="G331" s="1" t="s">
        <v>5568</v>
      </c>
      <c r="H331" s="1" t="s">
        <v>4518</v>
      </c>
      <c r="I331" s="1" t="s">
        <v>4518</v>
      </c>
      <c r="J331" s="1" t="s">
        <v>4518</v>
      </c>
      <c r="K331" s="1" t="s">
        <v>4518</v>
      </c>
      <c r="L331" s="1" t="s">
        <v>4518</v>
      </c>
      <c r="M331" s="1" t="s">
        <v>4518</v>
      </c>
      <c r="N331" s="1" t="s">
        <v>5568</v>
      </c>
      <c r="O331" s="1" t="s">
        <v>4518</v>
      </c>
      <c r="P331" s="1" t="s">
        <v>4518</v>
      </c>
      <c r="Q331" s="1" t="s">
        <v>4518</v>
      </c>
    </row>
    <row r="332" spans="1:17" x14ac:dyDescent="0.2">
      <c r="A332" s="1" t="s">
        <v>6001</v>
      </c>
      <c r="B332" s="1" t="s">
        <v>179</v>
      </c>
      <c r="C332" s="1" t="s">
        <v>5578</v>
      </c>
      <c r="E332" s="1" t="s">
        <v>7449</v>
      </c>
      <c r="F332" s="1" t="s">
        <v>4518</v>
      </c>
      <c r="G332" s="1" t="s">
        <v>5568</v>
      </c>
      <c r="H332" s="1" t="s">
        <v>4518</v>
      </c>
      <c r="I332" s="1" t="s">
        <v>4518</v>
      </c>
      <c r="J332" s="1" t="s">
        <v>4518</v>
      </c>
      <c r="K332" s="1" t="s">
        <v>4518</v>
      </c>
      <c r="L332" s="1" t="s">
        <v>4518</v>
      </c>
      <c r="M332" s="1" t="s">
        <v>4518</v>
      </c>
      <c r="N332" s="1" t="s">
        <v>5568</v>
      </c>
      <c r="O332" s="1" t="s">
        <v>4518</v>
      </c>
      <c r="P332" s="1" t="s">
        <v>4518</v>
      </c>
      <c r="Q332" s="1" t="s">
        <v>4518</v>
      </c>
    </row>
    <row r="333" spans="1:17" x14ac:dyDescent="0.2">
      <c r="C333" s="7" t="s">
        <v>1180</v>
      </c>
      <c r="F333" s="1" t="s">
        <v>4518</v>
      </c>
      <c r="G333" s="1" t="s">
        <v>4518</v>
      </c>
      <c r="H333" s="1" t="s">
        <v>4518</v>
      </c>
      <c r="I333" s="1" t="s">
        <v>4518</v>
      </c>
      <c r="J333" s="1" t="s">
        <v>4518</v>
      </c>
      <c r="K333" s="1" t="s">
        <v>4518</v>
      </c>
      <c r="L333" s="1" t="s">
        <v>4518</v>
      </c>
      <c r="M333" s="1" t="s">
        <v>4518</v>
      </c>
      <c r="N333" s="1" t="s">
        <v>4518</v>
      </c>
      <c r="O333" s="1" t="s">
        <v>4518</v>
      </c>
      <c r="P333" s="1" t="s">
        <v>4518</v>
      </c>
      <c r="Q333" s="1" t="s">
        <v>4518</v>
      </c>
    </row>
    <row r="334" spans="1:17" x14ac:dyDescent="0.2">
      <c r="A334" s="1" t="s">
        <v>6002</v>
      </c>
      <c r="B334" s="1" t="s">
        <v>1180</v>
      </c>
      <c r="C334" s="1" t="s">
        <v>5578</v>
      </c>
      <c r="E334" s="1" t="s">
        <v>52</v>
      </c>
      <c r="F334" s="1" t="s">
        <v>4518</v>
      </c>
      <c r="G334" s="1" t="s">
        <v>4518</v>
      </c>
      <c r="H334" s="1" t="s">
        <v>4518</v>
      </c>
      <c r="I334" s="1" t="s">
        <v>4518</v>
      </c>
      <c r="J334" s="1" t="s">
        <v>4518</v>
      </c>
      <c r="K334" s="1" t="s">
        <v>4518</v>
      </c>
      <c r="L334" s="1" t="s">
        <v>4518</v>
      </c>
      <c r="M334" s="1" t="s">
        <v>4518</v>
      </c>
      <c r="N334" s="1" t="s">
        <v>5568</v>
      </c>
      <c r="O334" s="1" t="s">
        <v>4518</v>
      </c>
      <c r="P334" s="1" t="s">
        <v>4518</v>
      </c>
      <c r="Q334" s="1" t="s">
        <v>4518</v>
      </c>
    </row>
    <row r="335" spans="1:17" x14ac:dyDescent="0.2">
      <c r="C335" s="7" t="s">
        <v>6003</v>
      </c>
      <c r="F335" s="1" t="s">
        <v>4518</v>
      </c>
      <c r="G335" s="1" t="s">
        <v>4518</v>
      </c>
      <c r="H335" s="1" t="s">
        <v>4518</v>
      </c>
      <c r="I335" s="1" t="s">
        <v>4518</v>
      </c>
      <c r="J335" s="1" t="s">
        <v>4518</v>
      </c>
      <c r="K335" s="1" t="s">
        <v>4518</v>
      </c>
      <c r="L335" s="1" t="s">
        <v>4518</v>
      </c>
      <c r="M335" s="1" t="s">
        <v>4518</v>
      </c>
      <c r="N335" s="1" t="s">
        <v>4518</v>
      </c>
      <c r="O335" s="1" t="s">
        <v>4518</v>
      </c>
      <c r="P335" s="1" t="s">
        <v>4518</v>
      </c>
      <c r="Q335" s="1" t="s">
        <v>4518</v>
      </c>
    </row>
    <row r="336" spans="1:17" x14ac:dyDescent="0.2">
      <c r="A336" s="1" t="s">
        <v>6004</v>
      </c>
      <c r="B336" s="1" t="s">
        <v>1181</v>
      </c>
      <c r="C336" s="1" t="s">
        <v>5578</v>
      </c>
      <c r="E336" s="1" t="s">
        <v>52</v>
      </c>
      <c r="F336" s="1" t="s">
        <v>4518</v>
      </c>
      <c r="G336" s="1" t="s">
        <v>4518</v>
      </c>
      <c r="H336" s="1" t="s">
        <v>4518</v>
      </c>
      <c r="I336" s="1" t="s">
        <v>4518</v>
      </c>
      <c r="J336" s="1" t="s">
        <v>4518</v>
      </c>
      <c r="K336" s="1" t="s">
        <v>4518</v>
      </c>
      <c r="L336" s="1" t="s">
        <v>4518</v>
      </c>
      <c r="M336" s="1" t="s">
        <v>4518</v>
      </c>
      <c r="N336" s="1" t="s">
        <v>5568</v>
      </c>
      <c r="O336" s="1" t="s">
        <v>4518</v>
      </c>
      <c r="P336" s="1" t="s">
        <v>4518</v>
      </c>
      <c r="Q336" s="1" t="s">
        <v>4518</v>
      </c>
    </row>
    <row r="337" spans="1:17" x14ac:dyDescent="0.2">
      <c r="A337" s="1" t="s">
        <v>6005</v>
      </c>
      <c r="B337" s="1" t="s">
        <v>6006</v>
      </c>
      <c r="C337" s="1" t="s">
        <v>5578</v>
      </c>
      <c r="E337" s="1" t="s">
        <v>52</v>
      </c>
      <c r="F337" s="1" t="s">
        <v>4518</v>
      </c>
      <c r="G337" s="1" t="s">
        <v>4518</v>
      </c>
      <c r="H337" s="1" t="s">
        <v>4518</v>
      </c>
      <c r="I337" s="1" t="s">
        <v>4518</v>
      </c>
      <c r="J337" s="1" t="s">
        <v>4518</v>
      </c>
      <c r="K337" s="1" t="s">
        <v>4518</v>
      </c>
      <c r="L337" s="1" t="s">
        <v>4518</v>
      </c>
      <c r="M337" s="1" t="s">
        <v>4518</v>
      </c>
      <c r="N337" s="1" t="s">
        <v>5568</v>
      </c>
      <c r="O337" s="1" t="s">
        <v>4518</v>
      </c>
      <c r="P337" s="1" t="s">
        <v>4518</v>
      </c>
      <c r="Q337" s="1" t="s">
        <v>4518</v>
      </c>
    </row>
    <row r="338" spans="1:17" x14ac:dyDescent="0.2">
      <c r="A338" s="1" t="s">
        <v>6707</v>
      </c>
      <c r="B338" s="1" t="s">
        <v>6708</v>
      </c>
      <c r="C338" s="1" t="s">
        <v>5578</v>
      </c>
      <c r="E338" s="1" t="s">
        <v>52</v>
      </c>
      <c r="F338" s="1" t="s">
        <v>4518</v>
      </c>
      <c r="G338" s="1" t="s">
        <v>4518</v>
      </c>
      <c r="H338" s="1" t="s">
        <v>4518</v>
      </c>
      <c r="I338" s="1" t="s">
        <v>4518</v>
      </c>
      <c r="J338" s="1" t="s">
        <v>4518</v>
      </c>
      <c r="K338" s="1" t="s">
        <v>4518</v>
      </c>
      <c r="L338" s="1" t="s">
        <v>4518</v>
      </c>
      <c r="M338" s="1" t="s">
        <v>4518</v>
      </c>
      <c r="N338" s="1" t="s">
        <v>5568</v>
      </c>
      <c r="O338" s="1" t="s">
        <v>4518</v>
      </c>
      <c r="P338" s="1" t="s">
        <v>4518</v>
      </c>
      <c r="Q338" s="1" t="s">
        <v>4518</v>
      </c>
    </row>
    <row r="339" spans="1:17" x14ac:dyDescent="0.2">
      <c r="A339" s="1" t="s">
        <v>6007</v>
      </c>
      <c r="B339" s="1" t="s">
        <v>1183</v>
      </c>
      <c r="C339" s="1" t="s">
        <v>5578</v>
      </c>
      <c r="D339" s="1" t="s">
        <v>6008</v>
      </c>
      <c r="E339" s="1" t="s">
        <v>52</v>
      </c>
      <c r="F339" s="1" t="s">
        <v>4518</v>
      </c>
      <c r="G339" s="1" t="s">
        <v>4518</v>
      </c>
      <c r="H339" s="1" t="s">
        <v>4518</v>
      </c>
      <c r="I339" s="1" t="s">
        <v>4518</v>
      </c>
      <c r="J339" s="1" t="s">
        <v>4518</v>
      </c>
      <c r="K339" s="1" t="s">
        <v>4518</v>
      </c>
      <c r="L339" s="1" t="s">
        <v>4518</v>
      </c>
      <c r="M339" s="1" t="s">
        <v>4518</v>
      </c>
      <c r="N339" s="1" t="s">
        <v>5568</v>
      </c>
      <c r="O339" s="1" t="s">
        <v>4518</v>
      </c>
      <c r="P339" s="1" t="s">
        <v>4518</v>
      </c>
      <c r="Q339" s="1" t="s">
        <v>4518</v>
      </c>
    </row>
    <row r="340" spans="1:17" x14ac:dyDescent="0.2">
      <c r="A340" s="1" t="s">
        <v>7629</v>
      </c>
      <c r="B340" s="1" t="s">
        <v>6009</v>
      </c>
      <c r="C340" s="1" t="s">
        <v>5578</v>
      </c>
      <c r="E340" s="1" t="s">
        <v>52</v>
      </c>
      <c r="F340" s="1" t="s">
        <v>4518</v>
      </c>
      <c r="G340" s="1" t="s">
        <v>4518</v>
      </c>
      <c r="H340" s="1" t="s">
        <v>4518</v>
      </c>
      <c r="I340" s="1" t="s">
        <v>4518</v>
      </c>
      <c r="J340" s="1" t="s">
        <v>4518</v>
      </c>
      <c r="K340" s="1" t="s">
        <v>4518</v>
      </c>
      <c r="L340" s="1" t="s">
        <v>4518</v>
      </c>
      <c r="M340" s="1" t="s">
        <v>4518</v>
      </c>
      <c r="N340" s="1" t="s">
        <v>5568</v>
      </c>
      <c r="O340" s="1" t="s">
        <v>4518</v>
      </c>
      <c r="P340" s="1" t="s">
        <v>4518</v>
      </c>
      <c r="Q340" s="1" t="s">
        <v>4518</v>
      </c>
    </row>
    <row r="341" spans="1:17" x14ac:dyDescent="0.2">
      <c r="C341" s="7" t="s">
        <v>6010</v>
      </c>
      <c r="F341" s="1" t="s">
        <v>4518</v>
      </c>
      <c r="G341" s="1" t="s">
        <v>4518</v>
      </c>
      <c r="H341" s="1" t="s">
        <v>4518</v>
      </c>
      <c r="I341" s="1" t="s">
        <v>4518</v>
      </c>
      <c r="J341" s="1" t="s">
        <v>4518</v>
      </c>
      <c r="K341" s="1" t="s">
        <v>4518</v>
      </c>
      <c r="L341" s="1" t="s">
        <v>4518</v>
      </c>
      <c r="M341" s="1" t="s">
        <v>4518</v>
      </c>
      <c r="N341" s="1" t="s">
        <v>4518</v>
      </c>
      <c r="O341" s="1" t="s">
        <v>4518</v>
      </c>
      <c r="P341" s="1" t="s">
        <v>4518</v>
      </c>
      <c r="Q341" s="1" t="s">
        <v>4518</v>
      </c>
    </row>
    <row r="342" spans="1:17" x14ac:dyDescent="0.2">
      <c r="A342" s="1" t="s">
        <v>6011</v>
      </c>
      <c r="B342" s="1" t="s">
        <v>1186</v>
      </c>
      <c r="C342" s="1" t="s">
        <v>5919</v>
      </c>
      <c r="D342" s="1" t="s">
        <v>6012</v>
      </c>
      <c r="E342" s="1" t="s">
        <v>52</v>
      </c>
      <c r="F342" s="1" t="s">
        <v>4518</v>
      </c>
      <c r="G342" s="1" t="s">
        <v>4518</v>
      </c>
      <c r="H342" s="1" t="s">
        <v>4518</v>
      </c>
      <c r="I342" s="1" t="s">
        <v>4518</v>
      </c>
      <c r="J342" s="1" t="s">
        <v>4518</v>
      </c>
      <c r="K342" s="1" t="s">
        <v>4518</v>
      </c>
      <c r="L342" s="1" t="s">
        <v>4518</v>
      </c>
      <c r="M342" s="1" t="s">
        <v>4518</v>
      </c>
      <c r="N342" s="1" t="s">
        <v>5568</v>
      </c>
      <c r="O342" s="1" t="s">
        <v>4518</v>
      </c>
      <c r="P342" s="1" t="s">
        <v>4518</v>
      </c>
      <c r="Q342" s="1" t="s">
        <v>4518</v>
      </c>
    </row>
    <row r="343" spans="1:17" x14ac:dyDescent="0.2">
      <c r="C343" s="7" t="s">
        <v>6013</v>
      </c>
      <c r="F343" s="1" t="s">
        <v>4518</v>
      </c>
      <c r="G343" s="1" t="s">
        <v>4518</v>
      </c>
      <c r="H343" s="1" t="s">
        <v>4518</v>
      </c>
      <c r="I343" s="1" t="s">
        <v>4518</v>
      </c>
      <c r="J343" s="1" t="s">
        <v>4518</v>
      </c>
      <c r="K343" s="1" t="s">
        <v>4518</v>
      </c>
      <c r="L343" s="1" t="s">
        <v>4518</v>
      </c>
      <c r="M343" s="1" t="s">
        <v>4518</v>
      </c>
      <c r="N343" s="1" t="s">
        <v>4518</v>
      </c>
      <c r="O343" s="1" t="s">
        <v>4518</v>
      </c>
      <c r="P343" s="1" t="s">
        <v>4518</v>
      </c>
      <c r="Q343" s="1" t="s">
        <v>4518</v>
      </c>
    </row>
    <row r="344" spans="1:17" x14ac:dyDescent="0.2">
      <c r="A344" s="1" t="s">
        <v>6014</v>
      </c>
      <c r="B344" s="1" t="s">
        <v>297</v>
      </c>
      <c r="C344" s="1" t="s">
        <v>5578</v>
      </c>
      <c r="D344" s="1" t="s">
        <v>6015</v>
      </c>
      <c r="E344" s="1" t="s">
        <v>7445</v>
      </c>
      <c r="F344" s="1" t="s">
        <v>4518</v>
      </c>
      <c r="G344" s="1" t="s">
        <v>5568</v>
      </c>
      <c r="H344" s="1" t="s">
        <v>4518</v>
      </c>
      <c r="I344" s="1" t="s">
        <v>4518</v>
      </c>
      <c r="J344" s="1" t="s">
        <v>5568</v>
      </c>
      <c r="K344" s="1" t="s">
        <v>4518</v>
      </c>
      <c r="L344" s="1" t="s">
        <v>4518</v>
      </c>
      <c r="M344" s="1" t="s">
        <v>4518</v>
      </c>
      <c r="N344" s="1" t="s">
        <v>5568</v>
      </c>
      <c r="O344" s="1" t="s">
        <v>4518</v>
      </c>
      <c r="P344" s="1" t="s">
        <v>4518</v>
      </c>
      <c r="Q344" s="1" t="s">
        <v>4518</v>
      </c>
    </row>
    <row r="345" spans="1:17" x14ac:dyDescent="0.2">
      <c r="A345" s="1" t="s">
        <v>6016</v>
      </c>
      <c r="B345" s="1" t="s">
        <v>298</v>
      </c>
      <c r="C345" s="1" t="s">
        <v>5578</v>
      </c>
      <c r="E345" s="1" t="s">
        <v>7442</v>
      </c>
      <c r="F345" s="1" t="s">
        <v>4518</v>
      </c>
      <c r="G345" s="1" t="s">
        <v>5568</v>
      </c>
      <c r="H345" s="1" t="s">
        <v>4518</v>
      </c>
      <c r="I345" s="1" t="s">
        <v>4518</v>
      </c>
      <c r="J345" s="1" t="s">
        <v>5568</v>
      </c>
      <c r="K345" s="1" t="s">
        <v>4518</v>
      </c>
      <c r="L345" s="1" t="s">
        <v>4518</v>
      </c>
      <c r="M345" s="1" t="s">
        <v>4518</v>
      </c>
      <c r="N345" s="1" t="s">
        <v>4518</v>
      </c>
      <c r="O345" s="1" t="s">
        <v>4518</v>
      </c>
      <c r="P345" s="1" t="s">
        <v>4518</v>
      </c>
      <c r="Q345" s="1" t="s">
        <v>4518</v>
      </c>
    </row>
    <row r="346" spans="1:17" x14ac:dyDescent="0.2">
      <c r="A346" s="1" t="s">
        <v>6017</v>
      </c>
      <c r="B346" s="1" t="s">
        <v>299</v>
      </c>
      <c r="C346" s="1" t="s">
        <v>5578</v>
      </c>
      <c r="E346" s="1" t="s">
        <v>44</v>
      </c>
      <c r="F346" s="1" t="s">
        <v>4518</v>
      </c>
      <c r="G346" s="1" t="s">
        <v>4518</v>
      </c>
      <c r="H346" s="1" t="s">
        <v>4518</v>
      </c>
      <c r="I346" s="1" t="s">
        <v>4518</v>
      </c>
      <c r="J346" s="1" t="s">
        <v>5568</v>
      </c>
      <c r="K346" s="1" t="s">
        <v>4518</v>
      </c>
      <c r="L346" s="1" t="s">
        <v>4518</v>
      </c>
      <c r="M346" s="1" t="s">
        <v>4518</v>
      </c>
      <c r="N346" s="1" t="s">
        <v>4518</v>
      </c>
      <c r="O346" s="1" t="s">
        <v>4518</v>
      </c>
      <c r="P346" s="1" t="s">
        <v>4518</v>
      </c>
      <c r="Q346" s="1" t="s">
        <v>4518</v>
      </c>
    </row>
    <row r="347" spans="1:17" x14ac:dyDescent="0.2">
      <c r="A347" s="1" t="s">
        <v>6018</v>
      </c>
      <c r="B347" s="1" t="s">
        <v>6019</v>
      </c>
      <c r="C347" s="1" t="s">
        <v>5578</v>
      </c>
      <c r="E347" s="1" t="s">
        <v>44</v>
      </c>
      <c r="F347" s="1" t="s">
        <v>4518</v>
      </c>
      <c r="G347" s="1" t="s">
        <v>4518</v>
      </c>
      <c r="H347" s="1" t="s">
        <v>4518</v>
      </c>
      <c r="I347" s="1" t="s">
        <v>4518</v>
      </c>
      <c r="J347" s="1" t="s">
        <v>5568</v>
      </c>
      <c r="K347" s="1" t="s">
        <v>4518</v>
      </c>
      <c r="L347" s="1" t="s">
        <v>4518</v>
      </c>
      <c r="M347" s="1" t="s">
        <v>4518</v>
      </c>
      <c r="N347" s="1" t="s">
        <v>4518</v>
      </c>
      <c r="O347" s="1" t="s">
        <v>4518</v>
      </c>
      <c r="P347" s="1" t="s">
        <v>4518</v>
      </c>
      <c r="Q347" s="1" t="s">
        <v>4518</v>
      </c>
    </row>
    <row r="348" spans="1:17" x14ac:dyDescent="0.2">
      <c r="C348" s="7" t="s">
        <v>6694</v>
      </c>
      <c r="F348" s="1" t="s">
        <v>4518</v>
      </c>
      <c r="G348" s="1" t="s">
        <v>4518</v>
      </c>
      <c r="H348" s="1" t="s">
        <v>4518</v>
      </c>
      <c r="I348" s="1" t="s">
        <v>4518</v>
      </c>
      <c r="J348" s="1" t="s">
        <v>4518</v>
      </c>
      <c r="K348" s="1" t="s">
        <v>4518</v>
      </c>
      <c r="L348" s="1" t="s">
        <v>4518</v>
      </c>
      <c r="M348" s="1" t="s">
        <v>4518</v>
      </c>
      <c r="N348" s="1" t="s">
        <v>4518</v>
      </c>
      <c r="O348" s="1" t="s">
        <v>4518</v>
      </c>
      <c r="P348" s="1" t="s">
        <v>4518</v>
      </c>
      <c r="Q348" s="1" t="s">
        <v>4518</v>
      </c>
    </row>
    <row r="349" spans="1:17" x14ac:dyDescent="0.2">
      <c r="A349" s="1" t="s">
        <v>6695</v>
      </c>
      <c r="B349" s="1" t="s">
        <v>6697</v>
      </c>
      <c r="C349" s="1" t="s">
        <v>5919</v>
      </c>
      <c r="E349" s="1" t="s">
        <v>52</v>
      </c>
      <c r="F349" s="1" t="s">
        <v>4518</v>
      </c>
      <c r="G349" s="1" t="s">
        <v>4518</v>
      </c>
      <c r="H349" s="1" t="s">
        <v>4518</v>
      </c>
      <c r="I349" s="1" t="s">
        <v>4518</v>
      </c>
      <c r="J349" s="1" t="s">
        <v>4518</v>
      </c>
      <c r="K349" s="1" t="s">
        <v>4518</v>
      </c>
      <c r="L349" s="1" t="s">
        <v>4518</v>
      </c>
      <c r="M349" s="1" t="s">
        <v>4518</v>
      </c>
      <c r="N349" s="1" t="s">
        <v>5568</v>
      </c>
      <c r="O349" s="1" t="s">
        <v>4518</v>
      </c>
      <c r="P349" s="1" t="s">
        <v>4518</v>
      </c>
      <c r="Q349" s="1" t="s">
        <v>4518</v>
      </c>
    </row>
    <row r="350" spans="1:17" x14ac:dyDescent="0.2">
      <c r="A350" s="1" t="s">
        <v>6696</v>
      </c>
      <c r="B350" s="1" t="s">
        <v>6698</v>
      </c>
      <c r="C350" s="1" t="s">
        <v>5919</v>
      </c>
      <c r="E350" s="1" t="s">
        <v>52</v>
      </c>
      <c r="F350" s="1" t="s">
        <v>4518</v>
      </c>
      <c r="G350" s="1" t="s">
        <v>4518</v>
      </c>
      <c r="H350" s="1" t="s">
        <v>4518</v>
      </c>
      <c r="I350" s="1" t="s">
        <v>4518</v>
      </c>
      <c r="J350" s="1" t="s">
        <v>4518</v>
      </c>
      <c r="K350" s="1" t="s">
        <v>4518</v>
      </c>
      <c r="L350" s="1" t="s">
        <v>4518</v>
      </c>
      <c r="M350" s="1" t="s">
        <v>4518</v>
      </c>
      <c r="N350" s="1" t="s">
        <v>5568</v>
      </c>
      <c r="O350" s="1" t="s">
        <v>4518</v>
      </c>
      <c r="P350" s="1" t="s">
        <v>4518</v>
      </c>
      <c r="Q350" s="1" t="s">
        <v>4518</v>
      </c>
    </row>
    <row r="351" spans="1:17" x14ac:dyDescent="0.2">
      <c r="A351" s="7" t="s">
        <v>6020</v>
      </c>
      <c r="F351" s="1" t="s">
        <v>4518</v>
      </c>
      <c r="G351" s="1" t="s">
        <v>4518</v>
      </c>
      <c r="H351" s="1" t="s">
        <v>4518</v>
      </c>
      <c r="I351" s="1" t="s">
        <v>4518</v>
      </c>
      <c r="J351" s="1" t="s">
        <v>4518</v>
      </c>
      <c r="K351" s="1" t="s">
        <v>4518</v>
      </c>
      <c r="L351" s="1" t="s">
        <v>4518</v>
      </c>
      <c r="M351" s="1" t="s">
        <v>4518</v>
      </c>
      <c r="N351" s="1" t="s">
        <v>4518</v>
      </c>
      <c r="O351" s="1" t="s">
        <v>4518</v>
      </c>
      <c r="P351" s="1" t="s">
        <v>4518</v>
      </c>
      <c r="Q351" s="1" t="s">
        <v>4518</v>
      </c>
    </row>
    <row r="352" spans="1:17" x14ac:dyDescent="0.2">
      <c r="A352" s="1" t="s">
        <v>6021</v>
      </c>
      <c r="B352" s="1" t="s">
        <v>1202</v>
      </c>
      <c r="C352" s="1" t="s">
        <v>5578</v>
      </c>
      <c r="D352" s="1" t="s">
        <v>6022</v>
      </c>
      <c r="E352" s="1" t="s">
        <v>52</v>
      </c>
      <c r="F352" s="1" t="s">
        <v>4518</v>
      </c>
      <c r="G352" s="1" t="s">
        <v>4518</v>
      </c>
      <c r="H352" s="1" t="s">
        <v>4518</v>
      </c>
      <c r="I352" s="1" t="s">
        <v>4518</v>
      </c>
      <c r="J352" s="1" t="s">
        <v>4518</v>
      </c>
      <c r="K352" s="1" t="s">
        <v>4518</v>
      </c>
      <c r="L352" s="1" t="s">
        <v>4518</v>
      </c>
      <c r="M352" s="1" t="s">
        <v>4518</v>
      </c>
      <c r="N352" s="1" t="s">
        <v>5568</v>
      </c>
      <c r="O352" s="1" t="s">
        <v>4518</v>
      </c>
      <c r="P352" s="1" t="s">
        <v>4518</v>
      </c>
      <c r="Q352" s="1" t="s">
        <v>4518</v>
      </c>
    </row>
    <row r="353" spans="1:17" x14ac:dyDescent="0.2">
      <c r="B353" s="7" t="s">
        <v>6023</v>
      </c>
      <c r="F353" s="1" t="s">
        <v>4518</v>
      </c>
      <c r="G353" s="1" t="s">
        <v>4518</v>
      </c>
      <c r="H353" s="1" t="s">
        <v>4518</v>
      </c>
      <c r="I353" s="1" t="s">
        <v>4518</v>
      </c>
      <c r="J353" s="1" t="s">
        <v>4518</v>
      </c>
      <c r="K353" s="1" t="s">
        <v>4518</v>
      </c>
      <c r="L353" s="1" t="s">
        <v>4518</v>
      </c>
      <c r="M353" s="1" t="s">
        <v>4518</v>
      </c>
      <c r="N353" s="1" t="s">
        <v>4518</v>
      </c>
      <c r="O353" s="1" t="s">
        <v>4518</v>
      </c>
      <c r="P353" s="1" t="s">
        <v>4518</v>
      </c>
      <c r="Q353" s="1" t="s">
        <v>4518</v>
      </c>
    </row>
    <row r="354" spans="1:17" x14ac:dyDescent="0.2">
      <c r="A354" s="1" t="s">
        <v>6024</v>
      </c>
      <c r="B354" s="1" t="s">
        <v>1207</v>
      </c>
      <c r="C354" s="1" t="s">
        <v>5578</v>
      </c>
      <c r="E354" s="1" t="s">
        <v>52</v>
      </c>
      <c r="F354" s="1" t="s">
        <v>4518</v>
      </c>
      <c r="G354" s="1" t="s">
        <v>4518</v>
      </c>
      <c r="H354" s="1" t="s">
        <v>4518</v>
      </c>
      <c r="I354" s="1" t="s">
        <v>4518</v>
      </c>
      <c r="J354" s="1" t="s">
        <v>4518</v>
      </c>
      <c r="K354" s="1" t="s">
        <v>4518</v>
      </c>
      <c r="L354" s="1" t="s">
        <v>4518</v>
      </c>
      <c r="M354" s="1" t="s">
        <v>4518</v>
      </c>
      <c r="N354" s="1" t="s">
        <v>5568</v>
      </c>
      <c r="O354" s="1" t="s">
        <v>4518</v>
      </c>
      <c r="P354" s="1" t="s">
        <v>4518</v>
      </c>
      <c r="Q354" s="1" t="s">
        <v>4518</v>
      </c>
    </row>
    <row r="355" spans="1:17" x14ac:dyDescent="0.2">
      <c r="A355" s="1" t="s">
        <v>6025</v>
      </c>
      <c r="B355" s="1" t="s">
        <v>1206</v>
      </c>
      <c r="C355" s="1" t="s">
        <v>5578</v>
      </c>
      <c r="E355" s="1" t="s">
        <v>52</v>
      </c>
      <c r="F355" s="1" t="s">
        <v>4518</v>
      </c>
      <c r="G355" s="1" t="s">
        <v>4518</v>
      </c>
      <c r="H355" s="1" t="s">
        <v>4518</v>
      </c>
      <c r="I355" s="1" t="s">
        <v>4518</v>
      </c>
      <c r="J355" s="1" t="s">
        <v>4518</v>
      </c>
      <c r="K355" s="1" t="s">
        <v>4518</v>
      </c>
      <c r="L355" s="1" t="s">
        <v>4518</v>
      </c>
      <c r="M355" s="1" t="s">
        <v>4518</v>
      </c>
      <c r="N355" s="1" t="s">
        <v>5568</v>
      </c>
      <c r="O355" s="1" t="s">
        <v>4518</v>
      </c>
      <c r="P355" s="1" t="s">
        <v>4518</v>
      </c>
      <c r="Q355" s="1" t="s">
        <v>4518</v>
      </c>
    </row>
    <row r="356" spans="1:17" x14ac:dyDescent="0.2">
      <c r="A356" s="1" t="s">
        <v>6026</v>
      </c>
      <c r="B356" s="1" t="s">
        <v>6027</v>
      </c>
      <c r="C356" s="1" t="s">
        <v>5578</v>
      </c>
      <c r="E356" s="1" t="s">
        <v>44</v>
      </c>
      <c r="F356" s="1" t="s">
        <v>4518</v>
      </c>
      <c r="G356" s="1" t="s">
        <v>4518</v>
      </c>
      <c r="H356" s="1" t="s">
        <v>4518</v>
      </c>
      <c r="I356" s="1" t="s">
        <v>4518</v>
      </c>
      <c r="J356" s="1" t="s">
        <v>5568</v>
      </c>
      <c r="K356" s="1" t="s">
        <v>4518</v>
      </c>
      <c r="L356" s="1" t="s">
        <v>4518</v>
      </c>
      <c r="M356" s="1" t="s">
        <v>4518</v>
      </c>
      <c r="N356" s="1" t="s">
        <v>4518</v>
      </c>
      <c r="O356" s="1" t="s">
        <v>4518</v>
      </c>
      <c r="P356" s="1" t="s">
        <v>4518</v>
      </c>
      <c r="Q356" s="1" t="s">
        <v>4518</v>
      </c>
    </row>
    <row r="357" spans="1:17" x14ac:dyDescent="0.2">
      <c r="A357" s="1" t="s">
        <v>6028</v>
      </c>
      <c r="B357" s="1" t="s">
        <v>1204</v>
      </c>
      <c r="C357" s="1" t="s">
        <v>5578</v>
      </c>
      <c r="D357" s="1" t="s">
        <v>6029</v>
      </c>
      <c r="E357" s="1" t="s">
        <v>52</v>
      </c>
      <c r="F357" s="1" t="s">
        <v>4518</v>
      </c>
      <c r="G357" s="1" t="s">
        <v>4518</v>
      </c>
      <c r="H357" s="1" t="s">
        <v>4518</v>
      </c>
      <c r="I357" s="1" t="s">
        <v>4518</v>
      </c>
      <c r="J357" s="1" t="s">
        <v>4518</v>
      </c>
      <c r="K357" s="1" t="s">
        <v>4518</v>
      </c>
      <c r="L357" s="1" t="s">
        <v>4518</v>
      </c>
      <c r="M357" s="1" t="s">
        <v>4518</v>
      </c>
      <c r="N357" s="1" t="s">
        <v>5568</v>
      </c>
      <c r="O357" s="1" t="s">
        <v>4518</v>
      </c>
      <c r="P357" s="1" t="s">
        <v>4518</v>
      </c>
      <c r="Q357" s="1" t="s">
        <v>4518</v>
      </c>
    </row>
    <row r="358" spans="1:17" x14ac:dyDescent="0.2">
      <c r="A358" s="1" t="s">
        <v>6030</v>
      </c>
      <c r="B358" s="1" t="s">
        <v>1203</v>
      </c>
      <c r="C358" s="1" t="s">
        <v>5578</v>
      </c>
      <c r="E358" s="1" t="s">
        <v>52</v>
      </c>
      <c r="F358" s="1" t="s">
        <v>4518</v>
      </c>
      <c r="G358" s="1" t="s">
        <v>4518</v>
      </c>
      <c r="H358" s="1" t="s">
        <v>4518</v>
      </c>
      <c r="I358" s="1" t="s">
        <v>4518</v>
      </c>
      <c r="J358" s="1" t="s">
        <v>4518</v>
      </c>
      <c r="K358" s="1" t="s">
        <v>4518</v>
      </c>
      <c r="L358" s="1" t="s">
        <v>4518</v>
      </c>
      <c r="M358" s="1" t="s">
        <v>4518</v>
      </c>
      <c r="N358" s="1" t="s">
        <v>5568</v>
      </c>
      <c r="O358" s="1" t="s">
        <v>4518</v>
      </c>
      <c r="P358" s="1" t="s">
        <v>4518</v>
      </c>
      <c r="Q358" s="1" t="s">
        <v>4518</v>
      </c>
    </row>
    <row r="359" spans="1:17" x14ac:dyDescent="0.2">
      <c r="A359" s="1" t="s">
        <v>6031</v>
      </c>
      <c r="B359" s="1" t="s">
        <v>1205</v>
      </c>
      <c r="C359" s="1" t="s">
        <v>5578</v>
      </c>
      <c r="E359" s="1" t="s">
        <v>52</v>
      </c>
      <c r="F359" s="1" t="s">
        <v>4518</v>
      </c>
      <c r="G359" s="1" t="s">
        <v>4518</v>
      </c>
      <c r="H359" s="1" t="s">
        <v>4518</v>
      </c>
      <c r="I359" s="1" t="s">
        <v>4518</v>
      </c>
      <c r="J359" s="1" t="s">
        <v>4518</v>
      </c>
      <c r="K359" s="1" t="s">
        <v>4518</v>
      </c>
      <c r="L359" s="1" t="s">
        <v>4518</v>
      </c>
      <c r="M359" s="1" t="s">
        <v>4518</v>
      </c>
      <c r="N359" s="1" t="s">
        <v>5568</v>
      </c>
      <c r="O359" s="1" t="s">
        <v>4518</v>
      </c>
      <c r="P359" s="1" t="s">
        <v>4518</v>
      </c>
      <c r="Q359" s="1" t="s">
        <v>4518</v>
      </c>
    </row>
    <row r="360" spans="1:17" x14ac:dyDescent="0.2">
      <c r="B360" s="1" t="s">
        <v>6032</v>
      </c>
      <c r="F360" s="1" t="s">
        <v>4518</v>
      </c>
      <c r="G360" s="1" t="s">
        <v>4518</v>
      </c>
      <c r="H360" s="1" t="s">
        <v>4518</v>
      </c>
      <c r="I360" s="1" t="s">
        <v>4518</v>
      </c>
      <c r="J360" s="1" t="s">
        <v>4518</v>
      </c>
      <c r="K360" s="1" t="s">
        <v>4518</v>
      </c>
      <c r="L360" s="1" t="s">
        <v>4518</v>
      </c>
      <c r="M360" s="1" t="s">
        <v>4518</v>
      </c>
      <c r="N360" s="1" t="s">
        <v>4518</v>
      </c>
      <c r="O360" s="1" t="s">
        <v>4518</v>
      </c>
      <c r="P360" s="1" t="s">
        <v>4518</v>
      </c>
      <c r="Q360" s="1" t="s">
        <v>4518</v>
      </c>
    </row>
    <row r="361" spans="1:17" x14ac:dyDescent="0.2">
      <c r="A361" s="1" t="s">
        <v>6033</v>
      </c>
      <c r="B361" s="1" t="s">
        <v>1198</v>
      </c>
      <c r="C361" s="1" t="s">
        <v>5578</v>
      </c>
      <c r="E361" s="1" t="s">
        <v>52</v>
      </c>
      <c r="F361" s="1" t="s">
        <v>4518</v>
      </c>
      <c r="G361" s="1" t="s">
        <v>4518</v>
      </c>
      <c r="H361" s="1" t="s">
        <v>4518</v>
      </c>
      <c r="I361" s="1" t="s">
        <v>4518</v>
      </c>
      <c r="J361" s="1" t="s">
        <v>4518</v>
      </c>
      <c r="K361" s="1" t="s">
        <v>4518</v>
      </c>
      <c r="L361" s="1" t="s">
        <v>4518</v>
      </c>
      <c r="M361" s="1" t="s">
        <v>4518</v>
      </c>
      <c r="N361" s="1" t="s">
        <v>5568</v>
      </c>
      <c r="O361" s="1" t="s">
        <v>4518</v>
      </c>
      <c r="P361" s="1" t="s">
        <v>4518</v>
      </c>
      <c r="Q361" s="1" t="s">
        <v>4518</v>
      </c>
    </row>
    <row r="362" spans="1:17" x14ac:dyDescent="0.2">
      <c r="A362" s="1" t="s">
        <v>6034</v>
      </c>
      <c r="B362" s="1" t="s">
        <v>1199</v>
      </c>
      <c r="C362" s="1" t="s">
        <v>5578</v>
      </c>
      <c r="E362" s="1" t="s">
        <v>52</v>
      </c>
      <c r="F362" s="1" t="s">
        <v>4518</v>
      </c>
      <c r="G362" s="1" t="s">
        <v>4518</v>
      </c>
      <c r="H362" s="1" t="s">
        <v>4518</v>
      </c>
      <c r="I362" s="1" t="s">
        <v>4518</v>
      </c>
      <c r="J362" s="1" t="s">
        <v>4518</v>
      </c>
      <c r="K362" s="1" t="s">
        <v>4518</v>
      </c>
      <c r="L362" s="1" t="s">
        <v>4518</v>
      </c>
      <c r="M362" s="1" t="s">
        <v>4518</v>
      </c>
      <c r="N362" s="1" t="s">
        <v>5568</v>
      </c>
      <c r="O362" s="1" t="s">
        <v>4518</v>
      </c>
      <c r="P362" s="1" t="s">
        <v>4518</v>
      </c>
      <c r="Q362" s="1" t="s">
        <v>4518</v>
      </c>
    </row>
    <row r="363" spans="1:17" x14ac:dyDescent="0.2">
      <c r="A363" s="7" t="s">
        <v>6035</v>
      </c>
      <c r="F363" s="1" t="s">
        <v>4518</v>
      </c>
      <c r="G363" s="1" t="s">
        <v>4518</v>
      </c>
      <c r="H363" s="1" t="s">
        <v>4518</v>
      </c>
      <c r="I363" s="1" t="s">
        <v>4518</v>
      </c>
      <c r="J363" s="1" t="s">
        <v>4518</v>
      </c>
      <c r="K363" s="1" t="s">
        <v>4518</v>
      </c>
      <c r="L363" s="1" t="s">
        <v>4518</v>
      </c>
      <c r="M363" s="1" t="s">
        <v>4518</v>
      </c>
      <c r="N363" s="1" t="s">
        <v>4518</v>
      </c>
      <c r="O363" s="1" t="s">
        <v>4518</v>
      </c>
      <c r="P363" s="1" t="s">
        <v>4518</v>
      </c>
      <c r="Q363" s="1" t="s">
        <v>4518</v>
      </c>
    </row>
    <row r="364" spans="1:17" x14ac:dyDescent="0.2">
      <c r="B364" s="7" t="s">
        <v>6036</v>
      </c>
      <c r="F364" s="1" t="s">
        <v>4518</v>
      </c>
      <c r="G364" s="1" t="s">
        <v>4518</v>
      </c>
      <c r="H364" s="1" t="s">
        <v>4518</v>
      </c>
      <c r="I364" s="1" t="s">
        <v>4518</v>
      </c>
      <c r="J364" s="1" t="s">
        <v>4518</v>
      </c>
      <c r="K364" s="1" t="s">
        <v>4518</v>
      </c>
      <c r="L364" s="1" t="s">
        <v>4518</v>
      </c>
      <c r="M364" s="1" t="s">
        <v>4518</v>
      </c>
      <c r="N364" s="1" t="s">
        <v>4518</v>
      </c>
      <c r="O364" s="1" t="s">
        <v>4518</v>
      </c>
      <c r="P364" s="1" t="s">
        <v>4518</v>
      </c>
      <c r="Q364" s="1" t="s">
        <v>4518</v>
      </c>
    </row>
    <row r="365" spans="1:17" x14ac:dyDescent="0.2">
      <c r="C365" s="7" t="s">
        <v>6037</v>
      </c>
      <c r="F365" s="1" t="s">
        <v>4518</v>
      </c>
      <c r="G365" s="1" t="s">
        <v>4518</v>
      </c>
      <c r="H365" s="1" t="s">
        <v>4518</v>
      </c>
      <c r="I365" s="1" t="s">
        <v>4518</v>
      </c>
      <c r="J365" s="1" t="s">
        <v>4518</v>
      </c>
      <c r="K365" s="1" t="s">
        <v>4518</v>
      </c>
      <c r="L365" s="1" t="s">
        <v>4518</v>
      </c>
      <c r="M365" s="1" t="s">
        <v>4518</v>
      </c>
      <c r="N365" s="1" t="s">
        <v>4518</v>
      </c>
      <c r="O365" s="1" t="s">
        <v>4518</v>
      </c>
      <c r="P365" s="1" t="s">
        <v>4518</v>
      </c>
      <c r="Q365" s="1" t="s">
        <v>4518</v>
      </c>
    </row>
    <row r="366" spans="1:17" x14ac:dyDescent="0.2">
      <c r="A366" s="1" t="s">
        <v>7626</v>
      </c>
      <c r="B366" s="1" t="s">
        <v>6803</v>
      </c>
      <c r="C366" s="1" t="s">
        <v>5919</v>
      </c>
      <c r="E366" s="1" t="s">
        <v>44</v>
      </c>
      <c r="F366" s="1" t="s">
        <v>4518</v>
      </c>
      <c r="G366" s="1" t="s">
        <v>4518</v>
      </c>
      <c r="H366" s="1" t="s">
        <v>4518</v>
      </c>
      <c r="I366" s="1" t="s">
        <v>4518</v>
      </c>
      <c r="J366" s="1" t="s">
        <v>5568</v>
      </c>
      <c r="K366" s="1" t="s">
        <v>4518</v>
      </c>
      <c r="L366" s="1" t="s">
        <v>4518</v>
      </c>
      <c r="M366" s="1" t="s">
        <v>4518</v>
      </c>
      <c r="N366" s="1" t="s">
        <v>4518</v>
      </c>
      <c r="O366" s="1" t="s">
        <v>4518</v>
      </c>
      <c r="P366" s="1" t="s">
        <v>4518</v>
      </c>
      <c r="Q366" s="1" t="s">
        <v>4518</v>
      </c>
    </row>
    <row r="367" spans="1:17" x14ac:dyDescent="0.2">
      <c r="A367" s="1" t="s">
        <v>6038</v>
      </c>
      <c r="B367" s="1" t="s">
        <v>305</v>
      </c>
      <c r="C367" s="1" t="s">
        <v>5919</v>
      </c>
      <c r="E367" s="1" t="s">
        <v>44</v>
      </c>
      <c r="F367" s="1" t="s">
        <v>4518</v>
      </c>
      <c r="G367" s="1" t="s">
        <v>4518</v>
      </c>
      <c r="H367" s="1" t="s">
        <v>4518</v>
      </c>
      <c r="I367" s="1" t="s">
        <v>4518</v>
      </c>
      <c r="J367" s="1" t="s">
        <v>5568</v>
      </c>
      <c r="K367" s="1" t="s">
        <v>4518</v>
      </c>
      <c r="L367" s="1" t="s">
        <v>4518</v>
      </c>
      <c r="M367" s="1" t="s">
        <v>4518</v>
      </c>
      <c r="N367" s="1" t="s">
        <v>4518</v>
      </c>
      <c r="O367" s="1" t="s">
        <v>4518</v>
      </c>
      <c r="P367" s="1" t="s">
        <v>4518</v>
      </c>
      <c r="Q367" s="1" t="s">
        <v>4518</v>
      </c>
    </row>
    <row r="368" spans="1:17" x14ac:dyDescent="0.2">
      <c r="A368" s="1" t="s">
        <v>6039</v>
      </c>
      <c r="B368" s="1" t="s">
        <v>304</v>
      </c>
      <c r="C368" s="1" t="s">
        <v>5919</v>
      </c>
      <c r="E368" s="1" t="s">
        <v>44</v>
      </c>
      <c r="F368" s="1" t="s">
        <v>4518</v>
      </c>
      <c r="G368" s="1" t="s">
        <v>4518</v>
      </c>
      <c r="H368" s="1" t="s">
        <v>4518</v>
      </c>
      <c r="I368" s="1" t="s">
        <v>4518</v>
      </c>
      <c r="J368" s="1" t="s">
        <v>5568</v>
      </c>
      <c r="K368" s="1" t="s">
        <v>4518</v>
      </c>
      <c r="L368" s="1" t="s">
        <v>4518</v>
      </c>
      <c r="M368" s="1" t="s">
        <v>4518</v>
      </c>
      <c r="N368" s="1" t="s">
        <v>4518</v>
      </c>
      <c r="O368" s="1" t="s">
        <v>4518</v>
      </c>
      <c r="P368" s="1" t="s">
        <v>4518</v>
      </c>
      <c r="Q368" s="1" t="s">
        <v>4518</v>
      </c>
    </row>
    <row r="369" spans="1:17" x14ac:dyDescent="0.2">
      <c r="A369" s="1" t="s">
        <v>6040</v>
      </c>
      <c r="B369" s="1" t="s">
        <v>306</v>
      </c>
      <c r="C369" s="1" t="s">
        <v>5919</v>
      </c>
      <c r="E369" s="1" t="s">
        <v>44</v>
      </c>
      <c r="F369" s="1" t="s">
        <v>4518</v>
      </c>
      <c r="G369" s="1" t="s">
        <v>4518</v>
      </c>
      <c r="H369" s="1" t="s">
        <v>4518</v>
      </c>
      <c r="I369" s="1" t="s">
        <v>4518</v>
      </c>
      <c r="J369" s="1" t="s">
        <v>5568</v>
      </c>
      <c r="K369" s="1" t="s">
        <v>4518</v>
      </c>
      <c r="L369" s="1" t="s">
        <v>4518</v>
      </c>
      <c r="M369" s="1" t="s">
        <v>4518</v>
      </c>
      <c r="N369" s="1" t="s">
        <v>4518</v>
      </c>
      <c r="O369" s="1" t="s">
        <v>4518</v>
      </c>
      <c r="P369" s="1" t="s">
        <v>4518</v>
      </c>
      <c r="Q369" s="1" t="s">
        <v>4518</v>
      </c>
    </row>
    <row r="370" spans="1:17" x14ac:dyDescent="0.2">
      <c r="B370" s="7" t="s">
        <v>6041</v>
      </c>
      <c r="F370" s="1" t="s">
        <v>4518</v>
      </c>
      <c r="G370" s="1" t="s">
        <v>4518</v>
      </c>
      <c r="H370" s="1" t="s">
        <v>4518</v>
      </c>
      <c r="I370" s="1" t="s">
        <v>4518</v>
      </c>
      <c r="J370" s="1" t="s">
        <v>4518</v>
      </c>
      <c r="K370" s="1" t="s">
        <v>4518</v>
      </c>
      <c r="L370" s="1" t="s">
        <v>4518</v>
      </c>
      <c r="M370" s="1" t="s">
        <v>4518</v>
      </c>
      <c r="N370" s="1" t="s">
        <v>4518</v>
      </c>
      <c r="O370" s="1" t="s">
        <v>4518</v>
      </c>
      <c r="P370" s="1" t="s">
        <v>4518</v>
      </c>
      <c r="Q370" s="1" t="s">
        <v>4518</v>
      </c>
    </row>
    <row r="371" spans="1:17" x14ac:dyDescent="0.2">
      <c r="A371" s="1" t="s">
        <v>6042</v>
      </c>
      <c r="B371" s="1" t="s">
        <v>6043</v>
      </c>
      <c r="C371" s="1" t="s">
        <v>5578</v>
      </c>
      <c r="E371" s="1" t="s">
        <v>7450</v>
      </c>
      <c r="F371" s="1" t="s">
        <v>5568</v>
      </c>
      <c r="G371" s="1" t="s">
        <v>4518</v>
      </c>
      <c r="H371" s="1" t="s">
        <v>4518</v>
      </c>
      <c r="I371" s="1" t="s">
        <v>4518</v>
      </c>
      <c r="J371" s="1" t="s">
        <v>5568</v>
      </c>
      <c r="K371" s="1" t="s">
        <v>4518</v>
      </c>
      <c r="L371" s="1" t="s">
        <v>4518</v>
      </c>
      <c r="M371" s="1" t="s">
        <v>4518</v>
      </c>
      <c r="N371" s="1" t="s">
        <v>4518</v>
      </c>
      <c r="O371" s="1" t="s">
        <v>4518</v>
      </c>
      <c r="P371" s="1" t="s">
        <v>4518</v>
      </c>
      <c r="Q371" s="1" t="s">
        <v>4518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91"/>
  <sheetViews>
    <sheetView workbookViewId="0"/>
  </sheetViews>
  <sheetFormatPr defaultColWidth="11.42578125" defaultRowHeight="12.75" x14ac:dyDescent="0.2"/>
  <cols>
    <col min="1" max="16384" width="11.42578125" style="1"/>
  </cols>
  <sheetData>
    <row r="1" spans="1:2" x14ac:dyDescent="0.2">
      <c r="A1" s="2" t="s">
        <v>240</v>
      </c>
      <c r="B1" s="2" t="s">
        <v>6044</v>
      </c>
    </row>
    <row r="3" spans="1:2" x14ac:dyDescent="0.2">
      <c r="A3" s="34" t="s">
        <v>316</v>
      </c>
      <c r="B3" s="34" t="s">
        <v>6045</v>
      </c>
    </row>
    <row r="4" spans="1:2" x14ac:dyDescent="0.2">
      <c r="A4" s="34" t="s">
        <v>356</v>
      </c>
      <c r="B4" s="34" t="s">
        <v>6046</v>
      </c>
    </row>
    <row r="5" spans="1:2" x14ac:dyDescent="0.2">
      <c r="A5" s="34" t="s">
        <v>410</v>
      </c>
      <c r="B5" s="34" t="s">
        <v>6047</v>
      </c>
    </row>
    <row r="6" spans="1:2" x14ac:dyDescent="0.2">
      <c r="A6" s="34" t="s">
        <v>450</v>
      </c>
      <c r="B6" s="34" t="s">
        <v>6048</v>
      </c>
    </row>
    <row r="7" spans="1:2" x14ac:dyDescent="0.2">
      <c r="A7" s="34" t="s">
        <v>482</v>
      </c>
      <c r="B7" s="34" t="s">
        <v>6049</v>
      </c>
    </row>
    <row r="8" spans="1:2" x14ac:dyDescent="0.2">
      <c r="A8" s="34" t="s">
        <v>6050</v>
      </c>
      <c r="B8" s="34" t="s">
        <v>6051</v>
      </c>
    </row>
    <row r="9" spans="1:2" x14ac:dyDescent="0.2">
      <c r="A9" s="34" t="s">
        <v>566</v>
      </c>
      <c r="B9" s="34" t="s">
        <v>6052</v>
      </c>
    </row>
    <row r="10" spans="1:2" x14ac:dyDescent="0.2">
      <c r="A10" s="34" t="s">
        <v>581</v>
      </c>
      <c r="B10" s="34" t="s">
        <v>6053</v>
      </c>
    </row>
    <row r="11" spans="1:2" x14ac:dyDescent="0.2">
      <c r="A11" s="34" t="s">
        <v>608</v>
      </c>
      <c r="B11" s="34" t="s">
        <v>6054</v>
      </c>
    </row>
    <row r="12" spans="1:2" x14ac:dyDescent="0.2">
      <c r="A12" s="34" t="s">
        <v>635</v>
      </c>
      <c r="B12" s="34" t="s">
        <v>6055</v>
      </c>
    </row>
    <row r="13" spans="1:2" x14ac:dyDescent="0.2">
      <c r="A13" s="34" t="s">
        <v>666</v>
      </c>
      <c r="B13" s="34" t="s">
        <v>6056</v>
      </c>
    </row>
    <row r="14" spans="1:2" x14ac:dyDescent="0.2">
      <c r="A14" s="34" t="s">
        <v>709</v>
      </c>
      <c r="B14" s="34" t="s">
        <v>6057</v>
      </c>
    </row>
    <row r="15" spans="1:2" x14ac:dyDescent="0.2">
      <c r="A15" s="34" t="s">
        <v>751</v>
      </c>
      <c r="B15" s="34" t="s">
        <v>6058</v>
      </c>
    </row>
    <row r="16" spans="1:2" x14ac:dyDescent="0.2">
      <c r="A16" s="34" t="s">
        <v>759</v>
      </c>
      <c r="B16" s="34" t="s">
        <v>6059</v>
      </c>
    </row>
    <row r="17" spans="1:2" x14ac:dyDescent="0.2">
      <c r="A17" s="34" t="s">
        <v>774</v>
      </c>
      <c r="B17" s="34" t="s">
        <v>6060</v>
      </c>
    </row>
    <row r="18" spans="1:2" x14ac:dyDescent="0.2">
      <c r="A18" s="34" t="s">
        <v>800</v>
      </c>
      <c r="B18" s="34" t="s">
        <v>6061</v>
      </c>
    </row>
    <row r="19" spans="1:2" x14ac:dyDescent="0.2">
      <c r="A19" s="34" t="s">
        <v>819</v>
      </c>
      <c r="B19" s="34" t="s">
        <v>6062</v>
      </c>
    </row>
    <row r="20" spans="1:2" x14ac:dyDescent="0.2">
      <c r="A20" s="34" t="s">
        <v>844</v>
      </c>
      <c r="B20" s="34" t="s">
        <v>6063</v>
      </c>
    </row>
    <row r="21" spans="1:2" x14ac:dyDescent="0.2">
      <c r="A21" s="34" t="s">
        <v>848</v>
      </c>
      <c r="B21" s="34" t="s">
        <v>6064</v>
      </c>
    </row>
    <row r="22" spans="1:2" x14ac:dyDescent="0.2">
      <c r="A22" s="34" t="s">
        <v>858</v>
      </c>
      <c r="B22" s="34" t="s">
        <v>6065</v>
      </c>
    </row>
    <row r="23" spans="1:2" x14ac:dyDescent="0.2">
      <c r="A23" s="34" t="s">
        <v>906</v>
      </c>
      <c r="B23" s="34" t="s">
        <v>6066</v>
      </c>
    </row>
    <row r="24" spans="1:2" x14ac:dyDescent="0.2">
      <c r="A24" s="34" t="s">
        <v>930</v>
      </c>
      <c r="B24" s="34" t="s">
        <v>6067</v>
      </c>
    </row>
    <row r="25" spans="1:2" x14ac:dyDescent="0.2">
      <c r="A25" s="34" t="s">
        <v>942</v>
      </c>
      <c r="B25" s="34" t="s">
        <v>6068</v>
      </c>
    </row>
    <row r="26" spans="1:2" x14ac:dyDescent="0.2">
      <c r="A26" s="34" t="s">
        <v>959</v>
      </c>
      <c r="B26" s="34" t="s">
        <v>6069</v>
      </c>
    </row>
    <row r="27" spans="1:2" x14ac:dyDescent="0.2">
      <c r="A27" s="34" t="s">
        <v>969</v>
      </c>
      <c r="B27" s="34" t="s">
        <v>6070</v>
      </c>
    </row>
    <row r="28" spans="1:2" x14ac:dyDescent="0.2">
      <c r="A28" s="34" t="s">
        <v>1005</v>
      </c>
      <c r="B28" s="34" t="s">
        <v>6071</v>
      </c>
    </row>
    <row r="29" spans="1:2" x14ac:dyDescent="0.2">
      <c r="A29" s="34" t="s">
        <v>1012</v>
      </c>
      <c r="B29" s="34" t="s">
        <v>6072</v>
      </c>
    </row>
    <row r="30" spans="1:2" x14ac:dyDescent="0.2">
      <c r="A30" s="34" t="s">
        <v>1031</v>
      </c>
      <c r="B30" s="34" t="s">
        <v>6073</v>
      </c>
    </row>
    <row r="31" spans="1:2" x14ac:dyDescent="0.2">
      <c r="A31" s="34" t="s">
        <v>1045</v>
      </c>
      <c r="B31" s="34" t="s">
        <v>6074</v>
      </c>
    </row>
    <row r="32" spans="1:2" x14ac:dyDescent="0.2">
      <c r="A32" s="34" t="s">
        <v>1214</v>
      </c>
      <c r="B32" s="34" t="s">
        <v>6075</v>
      </c>
    </row>
    <row r="33" spans="1:2" x14ac:dyDescent="0.2">
      <c r="A33" s="34" t="s">
        <v>1254</v>
      </c>
      <c r="B33" s="34" t="s">
        <v>6076</v>
      </c>
    </row>
    <row r="34" spans="1:2" x14ac:dyDescent="0.2">
      <c r="A34" s="34" t="s">
        <v>1271</v>
      </c>
      <c r="B34" s="34" t="s">
        <v>6077</v>
      </c>
    </row>
    <row r="35" spans="1:2" x14ac:dyDescent="0.2">
      <c r="A35" s="34" t="s">
        <v>1286</v>
      </c>
      <c r="B35" s="34" t="s">
        <v>6078</v>
      </c>
    </row>
    <row r="36" spans="1:2" x14ac:dyDescent="0.2">
      <c r="A36" s="34" t="s">
        <v>1295</v>
      </c>
      <c r="B36" s="34" t="s">
        <v>6079</v>
      </c>
    </row>
    <row r="37" spans="1:2" x14ac:dyDescent="0.2">
      <c r="A37" s="34" t="s">
        <v>1319</v>
      </c>
      <c r="B37" s="34" t="s">
        <v>6080</v>
      </c>
    </row>
    <row r="38" spans="1:2" x14ac:dyDescent="0.2">
      <c r="A38" s="34" t="s">
        <v>1342</v>
      </c>
      <c r="B38" s="34" t="s">
        <v>6081</v>
      </c>
    </row>
    <row r="39" spans="1:2" x14ac:dyDescent="0.2">
      <c r="A39" s="34" t="s">
        <v>1347</v>
      </c>
      <c r="B39" s="34" t="s">
        <v>6082</v>
      </c>
    </row>
    <row r="40" spans="1:2" x14ac:dyDescent="0.2">
      <c r="A40" s="34" t="s">
        <v>1365</v>
      </c>
      <c r="B40" s="34" t="s">
        <v>6083</v>
      </c>
    </row>
    <row r="41" spans="1:2" x14ac:dyDescent="0.2">
      <c r="A41" s="34" t="s">
        <v>1379</v>
      </c>
      <c r="B41" s="34" t="s">
        <v>6084</v>
      </c>
    </row>
    <row r="42" spans="1:2" x14ac:dyDescent="0.2">
      <c r="A42" s="34" t="s">
        <v>1388</v>
      </c>
      <c r="B42" s="34" t="s">
        <v>6085</v>
      </c>
    </row>
    <row r="43" spans="1:2" x14ac:dyDescent="0.2">
      <c r="A43" s="34" t="s">
        <v>1477</v>
      </c>
      <c r="B43" s="34" t="s">
        <v>6086</v>
      </c>
    </row>
    <row r="44" spans="1:2" x14ac:dyDescent="0.2">
      <c r="A44" s="34" t="s">
        <v>1511</v>
      </c>
      <c r="B44" s="34" t="s">
        <v>6087</v>
      </c>
    </row>
    <row r="45" spans="1:2" x14ac:dyDescent="0.2">
      <c r="A45" s="34" t="s">
        <v>1535</v>
      </c>
      <c r="B45" s="34" t="s">
        <v>6088</v>
      </c>
    </row>
    <row r="46" spans="1:2" x14ac:dyDescent="0.2">
      <c r="A46" s="34" t="s">
        <v>1545</v>
      </c>
      <c r="B46" s="34" t="s">
        <v>6089</v>
      </c>
    </row>
    <row r="47" spans="1:2" x14ac:dyDescent="0.2">
      <c r="A47" s="34" t="s">
        <v>1556</v>
      </c>
      <c r="B47" s="34" t="s">
        <v>6090</v>
      </c>
    </row>
    <row r="48" spans="1:2" x14ac:dyDescent="0.2">
      <c r="A48" s="34" t="s">
        <v>1588</v>
      </c>
      <c r="B48" s="34" t="s">
        <v>6091</v>
      </c>
    </row>
    <row r="49" spans="1:2" x14ac:dyDescent="0.2">
      <c r="A49" s="34" t="s">
        <v>1630</v>
      </c>
      <c r="B49" s="34" t="s">
        <v>6092</v>
      </c>
    </row>
    <row r="50" spans="1:2" x14ac:dyDescent="0.2">
      <c r="A50" s="34" t="s">
        <v>1672</v>
      </c>
      <c r="B50" s="34" t="s">
        <v>6093</v>
      </c>
    </row>
    <row r="51" spans="1:2" x14ac:dyDescent="0.2">
      <c r="A51" s="34" t="s">
        <v>1686</v>
      </c>
      <c r="B51" s="34" t="s">
        <v>6094</v>
      </c>
    </row>
    <row r="52" spans="1:2" x14ac:dyDescent="0.2">
      <c r="A52" s="34" t="s">
        <v>1709</v>
      </c>
      <c r="B52" s="34" t="s">
        <v>6095</v>
      </c>
    </row>
    <row r="53" spans="1:2" x14ac:dyDescent="0.2">
      <c r="A53" s="34" t="s">
        <v>1727</v>
      </c>
      <c r="B53" s="34" t="s">
        <v>6096</v>
      </c>
    </row>
    <row r="54" spans="1:2" x14ac:dyDescent="0.2">
      <c r="A54" s="34" t="s">
        <v>1746</v>
      </c>
      <c r="B54" s="34" t="s">
        <v>6097</v>
      </c>
    </row>
    <row r="55" spans="1:2" x14ac:dyDescent="0.2">
      <c r="A55" s="34" t="s">
        <v>1986</v>
      </c>
      <c r="B55" s="34" t="s">
        <v>6098</v>
      </c>
    </row>
    <row r="56" spans="1:2" x14ac:dyDescent="0.2">
      <c r="A56" s="34" t="s">
        <v>1997</v>
      </c>
      <c r="B56" s="34" t="s">
        <v>6099</v>
      </c>
    </row>
    <row r="57" spans="1:2" x14ac:dyDescent="0.2">
      <c r="A57" s="34" t="s">
        <v>2061</v>
      </c>
      <c r="B57" s="34" t="s">
        <v>6100</v>
      </c>
    </row>
    <row r="58" spans="1:2" x14ac:dyDescent="0.2">
      <c r="A58" s="34" t="s">
        <v>2069</v>
      </c>
      <c r="B58" s="34" t="s">
        <v>6101</v>
      </c>
    </row>
    <row r="59" spans="1:2" x14ac:dyDescent="0.2">
      <c r="A59" s="34" t="s">
        <v>2073</v>
      </c>
      <c r="B59" s="34" t="s">
        <v>6102</v>
      </c>
    </row>
    <row r="60" spans="1:2" x14ac:dyDescent="0.2">
      <c r="A60" s="34" t="s">
        <v>2094</v>
      </c>
      <c r="B60" s="34" t="s">
        <v>6103</v>
      </c>
    </row>
    <row r="61" spans="1:2" x14ac:dyDescent="0.2">
      <c r="A61" s="34" t="s">
        <v>2102</v>
      </c>
      <c r="B61" s="34" t="s">
        <v>6104</v>
      </c>
    </row>
    <row r="62" spans="1:2" x14ac:dyDescent="0.2">
      <c r="A62" s="34" t="s">
        <v>2110</v>
      </c>
      <c r="B62" s="34" t="s">
        <v>6105</v>
      </c>
    </row>
    <row r="63" spans="1:2" x14ac:dyDescent="0.2">
      <c r="A63" s="34" t="s">
        <v>2130</v>
      </c>
      <c r="B63" s="34" t="s">
        <v>6106</v>
      </c>
    </row>
    <row r="64" spans="1:2" x14ac:dyDescent="0.2">
      <c r="A64" s="34" t="s">
        <v>2151</v>
      </c>
      <c r="B64" s="34" t="s">
        <v>6107</v>
      </c>
    </row>
    <row r="65" spans="1:2" x14ac:dyDescent="0.2">
      <c r="A65" s="34" t="s">
        <v>2154</v>
      </c>
      <c r="B65" s="34" t="s">
        <v>6108</v>
      </c>
    </row>
    <row r="66" spans="1:2" x14ac:dyDescent="0.2">
      <c r="A66" s="34" t="s">
        <v>2167</v>
      </c>
      <c r="B66" s="34" t="s">
        <v>6109</v>
      </c>
    </row>
    <row r="67" spans="1:2" x14ac:dyDescent="0.2">
      <c r="A67" s="34" t="s">
        <v>2183</v>
      </c>
      <c r="B67" s="34" t="s">
        <v>6110</v>
      </c>
    </row>
    <row r="68" spans="1:2" x14ac:dyDescent="0.2">
      <c r="A68" s="34" t="s">
        <v>2196</v>
      </c>
      <c r="B68" s="34" t="s">
        <v>6111</v>
      </c>
    </row>
    <row r="69" spans="1:2" x14ac:dyDescent="0.2">
      <c r="A69" s="34" t="s">
        <v>2200</v>
      </c>
      <c r="B69" s="34" t="s">
        <v>6112</v>
      </c>
    </row>
    <row r="70" spans="1:2" x14ac:dyDescent="0.2">
      <c r="A70" s="34" t="s">
        <v>2228</v>
      </c>
      <c r="B70" s="34" t="s">
        <v>6113</v>
      </c>
    </row>
    <row r="71" spans="1:2" x14ac:dyDescent="0.2">
      <c r="A71" s="34" t="s">
        <v>2233</v>
      </c>
      <c r="B71" s="34" t="s">
        <v>6114</v>
      </c>
    </row>
    <row r="72" spans="1:2" x14ac:dyDescent="0.2">
      <c r="A72" s="34" t="s">
        <v>2259</v>
      </c>
      <c r="B72" s="34" t="s">
        <v>6115</v>
      </c>
    </row>
    <row r="73" spans="1:2" x14ac:dyDescent="0.2">
      <c r="A73" s="34" t="s">
        <v>2276</v>
      </c>
      <c r="B73" s="34" t="s">
        <v>6116</v>
      </c>
    </row>
    <row r="74" spans="1:2" x14ac:dyDescent="0.2">
      <c r="A74" s="34" t="s">
        <v>2304</v>
      </c>
      <c r="B74" s="34" t="s">
        <v>6117</v>
      </c>
    </row>
    <row r="75" spans="1:2" x14ac:dyDescent="0.2">
      <c r="A75" s="34" t="s">
        <v>2322</v>
      </c>
      <c r="B75" s="34" t="s">
        <v>6118</v>
      </c>
    </row>
    <row r="76" spans="1:2" x14ac:dyDescent="0.2">
      <c r="A76" s="34" t="s">
        <v>2342</v>
      </c>
      <c r="B76" s="34" t="s">
        <v>6119</v>
      </c>
    </row>
    <row r="77" spans="1:2" x14ac:dyDescent="0.2">
      <c r="A77" s="34" t="s">
        <v>2461</v>
      </c>
      <c r="B77" s="34" t="s">
        <v>6120</v>
      </c>
    </row>
    <row r="78" spans="1:2" x14ac:dyDescent="0.2">
      <c r="A78" s="34" t="s">
        <v>2531</v>
      </c>
      <c r="B78" s="34" t="s">
        <v>6121</v>
      </c>
    </row>
    <row r="79" spans="1:2" x14ac:dyDescent="0.2">
      <c r="A79" s="34" t="s">
        <v>2558</v>
      </c>
      <c r="B79" s="34" t="s">
        <v>6122</v>
      </c>
    </row>
    <row r="80" spans="1:2" x14ac:dyDescent="0.2">
      <c r="A80" s="34" t="s">
        <v>2605</v>
      </c>
      <c r="B80" s="34" t="s">
        <v>6123</v>
      </c>
    </row>
    <row r="81" spans="1:2" x14ac:dyDescent="0.2">
      <c r="A81" s="34" t="s">
        <v>2621</v>
      </c>
      <c r="B81" s="34" t="s">
        <v>6124</v>
      </c>
    </row>
    <row r="82" spans="1:2" x14ac:dyDescent="0.2">
      <c r="A82" s="34" t="s">
        <v>2647</v>
      </c>
      <c r="B82" s="34" t="s">
        <v>6125</v>
      </c>
    </row>
    <row r="83" spans="1:2" x14ac:dyDescent="0.2">
      <c r="A83" s="34" t="s">
        <v>2670</v>
      </c>
      <c r="B83" s="34" t="s">
        <v>6126</v>
      </c>
    </row>
    <row r="84" spans="1:2" x14ac:dyDescent="0.2">
      <c r="A84" s="34" t="s">
        <v>2678</v>
      </c>
      <c r="B84" s="34" t="s">
        <v>6127</v>
      </c>
    </row>
    <row r="85" spans="1:2" x14ac:dyDescent="0.2">
      <c r="A85" s="34" t="s">
        <v>2687</v>
      </c>
      <c r="B85" s="34" t="s">
        <v>6128</v>
      </c>
    </row>
    <row r="86" spans="1:2" x14ac:dyDescent="0.2">
      <c r="A86" s="34" t="s">
        <v>2704</v>
      </c>
      <c r="B86" s="34" t="s">
        <v>6129</v>
      </c>
    </row>
    <row r="87" spans="1:2" x14ac:dyDescent="0.2">
      <c r="A87" s="34" t="s">
        <v>2716</v>
      </c>
      <c r="B87" s="34" t="s">
        <v>6130</v>
      </c>
    </row>
    <row r="88" spans="1:2" x14ac:dyDescent="0.2">
      <c r="A88" s="34" t="s">
        <v>2719</v>
      </c>
      <c r="B88" s="34" t="s">
        <v>6131</v>
      </c>
    </row>
    <row r="89" spans="1:2" x14ac:dyDescent="0.2">
      <c r="A89" s="34" t="s">
        <v>2744</v>
      </c>
      <c r="B89" s="34" t="s">
        <v>6132</v>
      </c>
    </row>
    <row r="90" spans="1:2" x14ac:dyDescent="0.2">
      <c r="A90" s="34" t="s">
        <v>2814</v>
      </c>
      <c r="B90" s="34" t="s">
        <v>6133</v>
      </c>
    </row>
    <row r="91" spans="1:2" x14ac:dyDescent="0.2">
      <c r="A91" s="34" t="s">
        <v>2829</v>
      </c>
      <c r="B91" s="34" t="s">
        <v>6134</v>
      </c>
    </row>
    <row r="92" spans="1:2" x14ac:dyDescent="0.2">
      <c r="A92" s="34" t="s">
        <v>2881</v>
      </c>
      <c r="B92" s="34" t="s">
        <v>6135</v>
      </c>
    </row>
    <row r="93" spans="1:2" x14ac:dyDescent="0.2">
      <c r="A93" s="34" t="s">
        <v>2893</v>
      </c>
      <c r="B93" s="34" t="s">
        <v>6136</v>
      </c>
    </row>
    <row r="94" spans="1:2" x14ac:dyDescent="0.2">
      <c r="A94" s="34" t="s">
        <v>2900</v>
      </c>
      <c r="B94" s="34" t="s">
        <v>6137</v>
      </c>
    </row>
    <row r="95" spans="1:2" x14ac:dyDescent="0.2">
      <c r="A95" s="34" t="s">
        <v>2912</v>
      </c>
      <c r="B95" s="34" t="s">
        <v>6138</v>
      </c>
    </row>
    <row r="96" spans="1:2" x14ac:dyDescent="0.2">
      <c r="A96" s="34" t="s">
        <v>2920</v>
      </c>
      <c r="B96" s="34" t="s">
        <v>6139</v>
      </c>
    </row>
    <row r="97" spans="1:2" x14ac:dyDescent="0.2">
      <c r="A97" s="34" t="s">
        <v>2931</v>
      </c>
      <c r="B97" s="34" t="s">
        <v>6140</v>
      </c>
    </row>
    <row r="98" spans="1:2" x14ac:dyDescent="0.2">
      <c r="A98" s="34" t="s">
        <v>2945</v>
      </c>
      <c r="B98" s="34" t="s">
        <v>6141</v>
      </c>
    </row>
    <row r="99" spans="1:2" x14ac:dyDescent="0.2">
      <c r="A99" s="34" t="s">
        <v>2963</v>
      </c>
      <c r="B99" s="34" t="s">
        <v>6142</v>
      </c>
    </row>
    <row r="100" spans="1:2" x14ac:dyDescent="0.2">
      <c r="A100" s="34" t="s">
        <v>2970</v>
      </c>
      <c r="B100" s="34" t="s">
        <v>6143</v>
      </c>
    </row>
    <row r="101" spans="1:2" x14ac:dyDescent="0.2">
      <c r="A101" s="34" t="s">
        <v>2979</v>
      </c>
      <c r="B101" s="34" t="s">
        <v>6144</v>
      </c>
    </row>
    <row r="102" spans="1:2" x14ac:dyDescent="0.2">
      <c r="A102" s="34" t="s">
        <v>2995</v>
      </c>
      <c r="B102" s="34" t="s">
        <v>6145</v>
      </c>
    </row>
    <row r="103" spans="1:2" x14ac:dyDescent="0.2">
      <c r="A103" s="34" t="s">
        <v>3022</v>
      </c>
      <c r="B103" s="34" t="s">
        <v>6146</v>
      </c>
    </row>
    <row r="104" spans="1:2" x14ac:dyDescent="0.2">
      <c r="A104" s="34" t="s">
        <v>3055</v>
      </c>
      <c r="B104" s="34" t="s">
        <v>6147</v>
      </c>
    </row>
    <row r="105" spans="1:2" x14ac:dyDescent="0.2">
      <c r="A105" s="34" t="s">
        <v>3099</v>
      </c>
      <c r="B105" s="34" t="s">
        <v>6148</v>
      </c>
    </row>
    <row r="106" spans="1:2" x14ac:dyDescent="0.2">
      <c r="A106" s="34" t="s">
        <v>3198</v>
      </c>
      <c r="B106" s="34" t="s">
        <v>6149</v>
      </c>
    </row>
    <row r="107" spans="1:2" x14ac:dyDescent="0.2">
      <c r="A107" s="34" t="s">
        <v>3220</v>
      </c>
      <c r="B107" s="34" t="s">
        <v>6150</v>
      </c>
    </row>
    <row r="108" spans="1:2" x14ac:dyDescent="0.2">
      <c r="A108" s="34" t="s">
        <v>4099</v>
      </c>
      <c r="B108" s="34" t="s">
        <v>6151</v>
      </c>
    </row>
    <row r="109" spans="1:2" x14ac:dyDescent="0.2">
      <c r="A109" s="34" t="s">
        <v>4122</v>
      </c>
      <c r="B109" s="34" t="s">
        <v>6152</v>
      </c>
    </row>
    <row r="110" spans="1:2" x14ac:dyDescent="0.2">
      <c r="A110" s="34" t="s">
        <v>4144</v>
      </c>
      <c r="B110" s="34" t="s">
        <v>6153</v>
      </c>
    </row>
    <row r="111" spans="1:2" x14ac:dyDescent="0.2">
      <c r="A111" s="34" t="s">
        <v>4158</v>
      </c>
      <c r="B111" s="34" t="s">
        <v>6154</v>
      </c>
    </row>
    <row r="112" spans="1:2" x14ac:dyDescent="0.2">
      <c r="A112" s="34" t="s">
        <v>4172</v>
      </c>
      <c r="B112" s="34" t="s">
        <v>6155</v>
      </c>
    </row>
    <row r="113" spans="1:2" x14ac:dyDescent="0.2">
      <c r="A113" s="34" t="s">
        <v>4226</v>
      </c>
      <c r="B113" s="34" t="s">
        <v>6156</v>
      </c>
    </row>
    <row r="114" spans="1:2" x14ac:dyDescent="0.2">
      <c r="A114" s="34" t="s">
        <v>4268</v>
      </c>
      <c r="B114" s="34" t="s">
        <v>6157</v>
      </c>
    </row>
    <row r="115" spans="1:2" x14ac:dyDescent="0.2">
      <c r="A115" s="34" t="s">
        <v>4297</v>
      </c>
      <c r="B115" s="34" t="s">
        <v>6158</v>
      </c>
    </row>
    <row r="116" spans="1:2" x14ac:dyDescent="0.2">
      <c r="A116" s="34" t="s">
        <v>4372</v>
      </c>
      <c r="B116" s="34" t="s">
        <v>6159</v>
      </c>
    </row>
    <row r="117" spans="1:2" x14ac:dyDescent="0.2">
      <c r="A117" s="34" t="s">
        <v>4380</v>
      </c>
      <c r="B117" s="34" t="s">
        <v>6160</v>
      </c>
    </row>
    <row r="118" spans="1:2" x14ac:dyDescent="0.2">
      <c r="A118" s="34" t="s">
        <v>4449</v>
      </c>
      <c r="B118" s="34" t="s">
        <v>6161</v>
      </c>
    </row>
    <row r="119" spans="1:2" x14ac:dyDescent="0.2">
      <c r="A119" s="34" t="s">
        <v>4470</v>
      </c>
      <c r="B119" s="34" t="s">
        <v>6162</v>
      </c>
    </row>
    <row r="120" spans="1:2" x14ac:dyDescent="0.2">
      <c r="A120" s="34" t="s">
        <v>4506</v>
      </c>
      <c r="B120" s="34" t="s">
        <v>6163</v>
      </c>
    </row>
    <row r="121" spans="1:2" x14ac:dyDescent="0.2">
      <c r="A121" s="34" t="s">
        <v>4524</v>
      </c>
      <c r="B121" s="34" t="s">
        <v>6164</v>
      </c>
    </row>
    <row r="122" spans="1:2" x14ac:dyDescent="0.2">
      <c r="A122" s="34" t="s">
        <v>4562</v>
      </c>
      <c r="B122" s="34" t="s">
        <v>6165</v>
      </c>
    </row>
    <row r="123" spans="1:2" x14ac:dyDescent="0.2">
      <c r="A123" s="34" t="s">
        <v>4576</v>
      </c>
      <c r="B123" s="34" t="s">
        <v>6166</v>
      </c>
    </row>
    <row r="124" spans="1:2" x14ac:dyDescent="0.2">
      <c r="A124" s="34" t="s">
        <v>4607</v>
      </c>
      <c r="B124" s="34" t="s">
        <v>6167</v>
      </c>
    </row>
    <row r="125" spans="1:2" x14ac:dyDescent="0.2">
      <c r="A125" s="34" t="s">
        <v>4622</v>
      </c>
      <c r="B125" s="34" t="s">
        <v>6168</v>
      </c>
    </row>
    <row r="126" spans="1:2" x14ac:dyDescent="0.2">
      <c r="A126" s="34" t="s">
        <v>4644</v>
      </c>
      <c r="B126" s="34" t="s">
        <v>6169</v>
      </c>
    </row>
    <row r="127" spans="1:2" x14ac:dyDescent="0.2">
      <c r="A127" s="34" t="s">
        <v>3767</v>
      </c>
      <c r="B127" s="34" t="s">
        <v>6170</v>
      </c>
    </row>
    <row r="128" spans="1:2" x14ac:dyDescent="0.2">
      <c r="A128" s="34" t="s">
        <v>5018</v>
      </c>
      <c r="B128" s="34" t="s">
        <v>6171</v>
      </c>
    </row>
    <row r="129" spans="1:2" x14ac:dyDescent="0.2">
      <c r="A129" s="34" t="s">
        <v>5081</v>
      </c>
      <c r="B129" s="34" t="s">
        <v>6172</v>
      </c>
    </row>
    <row r="130" spans="1:2" x14ac:dyDescent="0.2">
      <c r="A130" s="34" t="s">
        <v>5151</v>
      </c>
      <c r="B130" s="34" t="s">
        <v>6173</v>
      </c>
    </row>
    <row r="131" spans="1:2" x14ac:dyDescent="0.2">
      <c r="A131" s="34" t="s">
        <v>4661</v>
      </c>
      <c r="B131" s="34" t="s">
        <v>6174</v>
      </c>
    </row>
    <row r="132" spans="1:2" x14ac:dyDescent="0.2">
      <c r="A132" s="34" t="s">
        <v>4709</v>
      </c>
      <c r="B132" s="34" t="s">
        <v>6175</v>
      </c>
    </row>
    <row r="133" spans="1:2" x14ac:dyDescent="0.2">
      <c r="A133" s="34" t="s">
        <v>4724</v>
      </c>
      <c r="B133" s="34" t="s">
        <v>6176</v>
      </c>
    </row>
    <row r="134" spans="1:2" x14ac:dyDescent="0.2">
      <c r="A134" s="34" t="s">
        <v>4748</v>
      </c>
      <c r="B134" s="34" t="s">
        <v>6177</v>
      </c>
    </row>
    <row r="135" spans="1:2" x14ac:dyDescent="0.2">
      <c r="A135" s="34" t="s">
        <v>4756</v>
      </c>
      <c r="B135" s="34" t="s">
        <v>6178</v>
      </c>
    </row>
    <row r="136" spans="1:2" x14ac:dyDescent="0.2">
      <c r="A136" s="34" t="s">
        <v>4777</v>
      </c>
      <c r="B136" s="34" t="s">
        <v>6179</v>
      </c>
    </row>
    <row r="137" spans="1:2" x14ac:dyDescent="0.2">
      <c r="A137" s="34" t="s">
        <v>4790</v>
      </c>
      <c r="B137" s="34" t="s">
        <v>6180</v>
      </c>
    </row>
    <row r="138" spans="1:2" x14ac:dyDescent="0.2">
      <c r="A138" s="34" t="s">
        <v>4795</v>
      </c>
      <c r="B138" s="34" t="s">
        <v>6181</v>
      </c>
    </row>
    <row r="139" spans="1:2" x14ac:dyDescent="0.2">
      <c r="A139" s="34" t="s">
        <v>4808</v>
      </c>
      <c r="B139" s="34" t="s">
        <v>6182</v>
      </c>
    </row>
    <row r="140" spans="1:2" x14ac:dyDescent="0.2">
      <c r="A140" s="34" t="s">
        <v>4837</v>
      </c>
      <c r="B140" s="34" t="s">
        <v>6183</v>
      </c>
    </row>
    <row r="141" spans="1:2" x14ac:dyDescent="0.2">
      <c r="A141" s="34" t="s">
        <v>4841</v>
      </c>
      <c r="B141" s="34" t="s">
        <v>6184</v>
      </c>
    </row>
    <row r="142" spans="1:2" x14ac:dyDescent="0.2">
      <c r="A142" s="34" t="s">
        <v>4857</v>
      </c>
      <c r="B142" s="34" t="s">
        <v>6185</v>
      </c>
    </row>
    <row r="143" spans="1:2" x14ac:dyDescent="0.2">
      <c r="A143" s="34" t="s">
        <v>4869</v>
      </c>
      <c r="B143" s="34" t="s">
        <v>6186</v>
      </c>
    </row>
    <row r="144" spans="1:2" x14ac:dyDescent="0.2">
      <c r="A144" s="34" t="s">
        <v>4885</v>
      </c>
      <c r="B144" s="34" t="s">
        <v>6187</v>
      </c>
    </row>
    <row r="145" spans="1:2" x14ac:dyDescent="0.2">
      <c r="A145" s="34" t="s">
        <v>4946</v>
      </c>
      <c r="B145" s="34" t="s">
        <v>6188</v>
      </c>
    </row>
    <row r="146" spans="1:2" x14ac:dyDescent="0.2">
      <c r="A146" s="34" t="s">
        <v>4955</v>
      </c>
      <c r="B146" s="34" t="s">
        <v>6189</v>
      </c>
    </row>
    <row r="147" spans="1:2" x14ac:dyDescent="0.2">
      <c r="A147" s="34" t="s">
        <v>4987</v>
      </c>
      <c r="B147" s="34" t="s">
        <v>6190</v>
      </c>
    </row>
    <row r="148" spans="1:2" x14ac:dyDescent="0.2">
      <c r="A148" s="34" t="s">
        <v>4998</v>
      </c>
      <c r="B148" s="34" t="s">
        <v>6191</v>
      </c>
    </row>
    <row r="149" spans="1:2" x14ac:dyDescent="0.2">
      <c r="A149" s="34" t="s">
        <v>5007</v>
      </c>
      <c r="B149" s="34" t="s">
        <v>6192</v>
      </c>
    </row>
    <row r="150" spans="1:2" x14ac:dyDescent="0.2">
      <c r="A150" s="34" t="s">
        <v>5093</v>
      </c>
      <c r="B150" s="34" t="s">
        <v>6193</v>
      </c>
    </row>
    <row r="151" spans="1:2" s="12" customFormat="1" x14ac:dyDescent="0.2">
      <c r="A151" s="12" t="s">
        <v>6299</v>
      </c>
      <c r="B151" s="12" t="s">
        <v>6501</v>
      </c>
    </row>
    <row r="152" spans="1:2" s="12" customFormat="1" x14ac:dyDescent="0.2">
      <c r="A152" s="12" t="s">
        <v>6200</v>
      </c>
      <c r="B152" s="12" t="s">
        <v>6502</v>
      </c>
    </row>
    <row r="153" spans="1:2" s="12" customFormat="1" x14ac:dyDescent="0.2">
      <c r="A153" s="12" t="s">
        <v>6400</v>
      </c>
      <c r="B153" s="12" t="s">
        <v>6503</v>
      </c>
    </row>
    <row r="154" spans="1:2" s="12" customFormat="1" x14ac:dyDescent="0.2">
      <c r="A154" s="12" t="s">
        <v>6406</v>
      </c>
      <c r="B154" s="12" t="s">
        <v>6504</v>
      </c>
    </row>
    <row r="155" spans="1:2" s="12" customFormat="1" x14ac:dyDescent="0.2">
      <c r="A155" s="12" t="s">
        <v>6415</v>
      </c>
      <c r="B155" s="12" t="s">
        <v>6505</v>
      </c>
    </row>
    <row r="156" spans="1:2" s="12" customFormat="1" x14ac:dyDescent="0.2">
      <c r="A156" s="12" t="s">
        <v>6426</v>
      </c>
      <c r="B156" s="12" t="s">
        <v>6506</v>
      </c>
    </row>
    <row r="157" spans="1:2" s="12" customFormat="1" x14ac:dyDescent="0.2">
      <c r="A157" s="12" t="s">
        <v>6441</v>
      </c>
      <c r="B157" s="12" t="s">
        <v>6507</v>
      </c>
    </row>
    <row r="158" spans="1:2" s="12" customFormat="1" x14ac:dyDescent="0.2">
      <c r="A158" s="12" t="s">
        <v>6449</v>
      </c>
      <c r="B158" s="12" t="s">
        <v>6508</v>
      </c>
    </row>
    <row r="159" spans="1:2" s="12" customFormat="1" x14ac:dyDescent="0.2">
      <c r="A159" s="12" t="s">
        <v>6489</v>
      </c>
      <c r="B159" s="12" t="s">
        <v>6509</v>
      </c>
    </row>
    <row r="160" spans="1:2" s="12" customFormat="1" x14ac:dyDescent="0.2">
      <c r="A160" s="12" t="s">
        <v>6496</v>
      </c>
      <c r="B160" s="27" t="s">
        <v>6510</v>
      </c>
    </row>
    <row r="161" spans="1:2" s="12" customFormat="1" x14ac:dyDescent="0.2">
      <c r="A161" s="12" t="s">
        <v>6458</v>
      </c>
      <c r="B161" s="12" t="s">
        <v>6511</v>
      </c>
    </row>
    <row r="162" spans="1:2" s="12" customFormat="1" x14ac:dyDescent="0.2">
      <c r="A162" s="12" t="s">
        <v>6479</v>
      </c>
      <c r="B162" s="12" t="s">
        <v>6512</v>
      </c>
    </row>
    <row r="163" spans="1:2" x14ac:dyDescent="0.2">
      <c r="A163" s="39" t="s">
        <v>6626</v>
      </c>
      <c r="B163" s="12" t="s">
        <v>6627</v>
      </c>
    </row>
    <row r="164" spans="1:2" x14ac:dyDescent="0.2">
      <c r="A164" s="39" t="s">
        <v>6628</v>
      </c>
      <c r="B164" s="34" t="s">
        <v>6629</v>
      </c>
    </row>
    <row r="165" spans="1:2" s="34" customFormat="1" x14ac:dyDescent="0.2">
      <c r="A165" s="34" t="s">
        <v>7308</v>
      </c>
      <c r="B165" s="63" t="s">
        <v>7417</v>
      </c>
    </row>
    <row r="166" spans="1:2" s="34" customFormat="1" x14ac:dyDescent="0.2">
      <c r="A166" s="34" t="s">
        <v>7310</v>
      </c>
      <c r="B166" s="34" t="s">
        <v>7418</v>
      </c>
    </row>
    <row r="167" spans="1:2" s="34" customFormat="1" x14ac:dyDescent="0.2">
      <c r="A167" s="34" t="s">
        <v>7314</v>
      </c>
      <c r="B167" s="34" t="s">
        <v>7419</v>
      </c>
    </row>
    <row r="168" spans="1:2" s="34" customFormat="1" x14ac:dyDescent="0.2">
      <c r="A168" s="34" t="s">
        <v>7316</v>
      </c>
      <c r="B168" s="34" t="s">
        <v>7420</v>
      </c>
    </row>
    <row r="169" spans="1:2" s="34" customFormat="1" x14ac:dyDescent="0.2">
      <c r="A169" s="34" t="s">
        <v>7319</v>
      </c>
      <c r="B169" s="34" t="s">
        <v>7421</v>
      </c>
    </row>
    <row r="170" spans="1:2" s="34" customFormat="1" x14ac:dyDescent="0.2">
      <c r="A170" s="34" t="s">
        <v>7323</v>
      </c>
      <c r="B170" s="34" t="s">
        <v>7422</v>
      </c>
    </row>
    <row r="171" spans="1:2" s="34" customFormat="1" x14ac:dyDescent="0.2">
      <c r="A171" s="34" t="s">
        <v>7325</v>
      </c>
      <c r="B171" s="34" t="s">
        <v>7423</v>
      </c>
    </row>
    <row r="172" spans="1:2" s="34" customFormat="1" x14ac:dyDescent="0.2">
      <c r="A172" s="34" t="s">
        <v>7328</v>
      </c>
      <c r="B172" s="63" t="s">
        <v>7424</v>
      </c>
    </row>
    <row r="173" spans="1:2" s="34" customFormat="1" x14ac:dyDescent="0.2">
      <c r="A173" s="34" t="s">
        <v>7332</v>
      </c>
      <c r="B173" s="63" t="s">
        <v>7425</v>
      </c>
    </row>
    <row r="174" spans="1:2" s="34" customFormat="1" x14ac:dyDescent="0.2">
      <c r="A174" s="34" t="s">
        <v>7340</v>
      </c>
      <c r="B174" s="63" t="s">
        <v>7426</v>
      </c>
    </row>
    <row r="175" spans="1:2" s="34" customFormat="1" x14ac:dyDescent="0.2">
      <c r="A175" s="34" t="s">
        <v>7346</v>
      </c>
      <c r="B175" s="63" t="s">
        <v>7427</v>
      </c>
    </row>
    <row r="176" spans="1:2" s="34" customFormat="1" x14ac:dyDescent="0.2">
      <c r="A176" s="34" t="s">
        <v>7349</v>
      </c>
      <c r="B176" s="63" t="s">
        <v>7428</v>
      </c>
    </row>
    <row r="177" spans="1:2" s="34" customFormat="1" x14ac:dyDescent="0.2">
      <c r="A177" s="34" t="s">
        <v>7351</v>
      </c>
      <c r="B177" s="63" t="s">
        <v>7429</v>
      </c>
    </row>
    <row r="178" spans="1:2" s="34" customFormat="1" x14ac:dyDescent="0.2">
      <c r="A178" s="34" t="s">
        <v>7353</v>
      </c>
      <c r="B178" s="64" t="s">
        <v>7430</v>
      </c>
    </row>
    <row r="179" spans="1:2" s="34" customFormat="1" x14ac:dyDescent="0.2">
      <c r="A179" s="34" t="s">
        <v>7356</v>
      </c>
      <c r="B179" s="63" t="s">
        <v>7431</v>
      </c>
    </row>
    <row r="180" spans="1:2" s="34" customFormat="1" x14ac:dyDescent="0.2">
      <c r="A180" s="34" t="s">
        <v>7660</v>
      </c>
      <c r="B180" s="63" t="s">
        <v>7703</v>
      </c>
    </row>
    <row r="181" spans="1:2" s="34" customFormat="1" x14ac:dyDescent="0.2">
      <c r="A181" s="34" t="s">
        <v>7358</v>
      </c>
      <c r="B181" s="63" t="s">
        <v>7432</v>
      </c>
    </row>
    <row r="182" spans="1:2" s="34" customFormat="1" x14ac:dyDescent="0.2">
      <c r="A182" s="34" t="s">
        <v>7361</v>
      </c>
      <c r="B182" s="63" t="s">
        <v>7433</v>
      </c>
    </row>
    <row r="183" spans="1:2" s="34" customFormat="1" x14ac:dyDescent="0.2">
      <c r="A183" s="34" t="s">
        <v>7662</v>
      </c>
      <c r="B183" s="63" t="s">
        <v>7702</v>
      </c>
    </row>
    <row r="184" spans="1:2" s="34" customFormat="1" x14ac:dyDescent="0.2">
      <c r="A184" s="34" t="s">
        <v>7364</v>
      </c>
      <c r="B184" s="65" t="s">
        <v>7434</v>
      </c>
    </row>
    <row r="185" spans="1:2" s="34" customFormat="1" x14ac:dyDescent="0.2">
      <c r="A185" s="34" t="s">
        <v>7366</v>
      </c>
      <c r="B185" s="65" t="s">
        <v>7435</v>
      </c>
    </row>
    <row r="186" spans="1:2" s="34" customFormat="1" x14ac:dyDescent="0.2">
      <c r="A186" s="34" t="s">
        <v>7368</v>
      </c>
      <c r="B186" s="34" t="s">
        <v>7436</v>
      </c>
    </row>
    <row r="187" spans="1:2" s="34" customFormat="1" x14ac:dyDescent="0.2">
      <c r="A187" s="34" t="s">
        <v>7371</v>
      </c>
      <c r="B187" s="66" t="s">
        <v>7437</v>
      </c>
    </row>
    <row r="188" spans="1:2" s="34" customFormat="1" x14ac:dyDescent="0.2">
      <c r="A188" s="34" t="s">
        <v>7389</v>
      </c>
      <c r="B188" s="63" t="s">
        <v>7438</v>
      </c>
    </row>
    <row r="189" spans="1:2" s="12" customFormat="1" ht="15" x14ac:dyDescent="0.25">
      <c r="A189" s="12" t="s">
        <v>7409</v>
      </c>
      <c r="B189" s="67" t="s">
        <v>7440</v>
      </c>
    </row>
    <row r="190" spans="1:2" s="12" customFormat="1" x14ac:dyDescent="0.2">
      <c r="A190" s="12" t="s">
        <v>7410</v>
      </c>
      <c r="B190" s="68" t="s">
        <v>7439</v>
      </c>
    </row>
    <row r="191" spans="1:2" s="34" customForma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2"/>
  <sheetViews>
    <sheetView workbookViewId="0"/>
  </sheetViews>
  <sheetFormatPr defaultColWidth="11.42578125" defaultRowHeight="12.75" x14ac:dyDescent="0.2"/>
  <cols>
    <col min="1" max="1" width="10.42578125" style="1" customWidth="1"/>
    <col min="2" max="16384" width="11.42578125" style="1"/>
  </cols>
  <sheetData>
    <row r="1" spans="1:2" x14ac:dyDescent="0.2">
      <c r="A1" s="2" t="s">
        <v>0</v>
      </c>
    </row>
    <row r="3" spans="1:2" x14ac:dyDescent="0.2">
      <c r="A3" s="2" t="s">
        <v>1</v>
      </c>
    </row>
    <row r="5" spans="1:2" x14ac:dyDescent="0.2">
      <c r="A5" s="1" t="s">
        <v>2</v>
      </c>
      <c r="B5" s="1" t="s">
        <v>3</v>
      </c>
    </row>
    <row r="6" spans="1:2" x14ac:dyDescent="0.2">
      <c r="A6" s="1" t="s">
        <v>4</v>
      </c>
      <c r="B6" s="1" t="s">
        <v>5</v>
      </c>
    </row>
    <row r="8" spans="1:2" x14ac:dyDescent="0.2">
      <c r="A8" s="2" t="s">
        <v>6</v>
      </c>
    </row>
    <row r="9" spans="1:2" x14ac:dyDescent="0.2">
      <c r="A9" s="1" t="s">
        <v>7</v>
      </c>
      <c r="B9" s="1" t="s">
        <v>8</v>
      </c>
    </row>
    <row r="10" spans="1:2" x14ac:dyDescent="0.2">
      <c r="A10" s="1" t="s">
        <v>9</v>
      </c>
      <c r="B10" s="1" t="s">
        <v>10</v>
      </c>
    </row>
    <row r="11" spans="1:2" x14ac:dyDescent="0.2">
      <c r="A11" s="1" t="s">
        <v>11</v>
      </c>
      <c r="B11" s="1" t="s">
        <v>12</v>
      </c>
    </row>
    <row r="14" spans="1:2" x14ac:dyDescent="0.2">
      <c r="A14" s="1" t="s">
        <v>13</v>
      </c>
      <c r="B14" s="1" t="s">
        <v>14</v>
      </c>
    </row>
    <row r="15" spans="1:2" x14ac:dyDescent="0.2">
      <c r="A15" s="1" t="s">
        <v>15</v>
      </c>
      <c r="B15" s="1" t="s">
        <v>16</v>
      </c>
    </row>
    <row r="16" spans="1:2" x14ac:dyDescent="0.2">
      <c r="A16" s="1" t="s">
        <v>17</v>
      </c>
      <c r="B16" s="1" t="s">
        <v>18</v>
      </c>
    </row>
    <row r="21" spans="1:2" x14ac:dyDescent="0.2">
      <c r="A21" s="2" t="s">
        <v>19</v>
      </c>
      <c r="B21" s="1" t="s">
        <v>20</v>
      </c>
    </row>
    <row r="22" spans="1:2" x14ac:dyDescent="0.2">
      <c r="A22" s="1" t="s">
        <v>21</v>
      </c>
      <c r="B22" s="1" t="s">
        <v>22</v>
      </c>
    </row>
    <row r="23" spans="1:2" x14ac:dyDescent="0.2">
      <c r="A23" s="1" t="s">
        <v>23</v>
      </c>
      <c r="B23" s="1" t="s">
        <v>24</v>
      </c>
    </row>
    <row r="24" spans="1:2" x14ac:dyDescent="0.2">
      <c r="A24" s="1" t="s">
        <v>25</v>
      </c>
      <c r="B24" s="1" t="s">
        <v>26</v>
      </c>
    </row>
    <row r="25" spans="1:2" x14ac:dyDescent="0.2">
      <c r="A25" s="1" t="s">
        <v>27</v>
      </c>
      <c r="B25" s="1" t="s">
        <v>28</v>
      </c>
    </row>
    <row r="26" spans="1:2" x14ac:dyDescent="0.2">
      <c r="A26" s="1" t="s">
        <v>29</v>
      </c>
      <c r="B26" s="1" t="s">
        <v>30</v>
      </c>
    </row>
    <row r="27" spans="1:2" x14ac:dyDescent="0.2">
      <c r="A27" s="1" t="s">
        <v>31</v>
      </c>
      <c r="B27" s="1" t="s">
        <v>32</v>
      </c>
    </row>
    <row r="28" spans="1:2" x14ac:dyDescent="0.2">
      <c r="A28" s="1" t="s">
        <v>6201</v>
      </c>
      <c r="B28" s="1" t="s">
        <v>6500</v>
      </c>
    </row>
    <row r="29" spans="1:2" x14ac:dyDescent="0.2">
      <c r="A29" s="1" t="s">
        <v>6600</v>
      </c>
      <c r="B29" s="1" t="s">
        <v>6625</v>
      </c>
    </row>
    <row r="30" spans="1:2" x14ac:dyDescent="0.2">
      <c r="A30" s="1" t="s">
        <v>7320</v>
      </c>
      <c r="B30" s="1" t="s">
        <v>7414</v>
      </c>
    </row>
    <row r="31" spans="1:2" x14ac:dyDescent="0.2">
      <c r="A31" s="1" t="s">
        <v>7412</v>
      </c>
      <c r="B31" s="1" t="s">
        <v>7415</v>
      </c>
    </row>
    <row r="32" spans="1:2" x14ac:dyDescent="0.2">
      <c r="A32" s="1" t="s">
        <v>7413</v>
      </c>
      <c r="B32" s="1" t="s">
        <v>7416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8"/>
  <sheetViews>
    <sheetView workbookViewId="0"/>
  </sheetViews>
  <sheetFormatPr defaultColWidth="11.42578125" defaultRowHeight="12.75" x14ac:dyDescent="0.2"/>
  <cols>
    <col min="1" max="16384" width="11.42578125" style="1"/>
  </cols>
  <sheetData>
    <row r="1" spans="1:3" x14ac:dyDescent="0.2">
      <c r="A1" s="2" t="s">
        <v>33</v>
      </c>
    </row>
    <row r="3" spans="1:3" x14ac:dyDescent="0.2">
      <c r="A3" s="2" t="s">
        <v>34</v>
      </c>
      <c r="B3" s="2" t="s">
        <v>35</v>
      </c>
    </row>
    <row r="4" spans="1:3" x14ac:dyDescent="0.2">
      <c r="A4" s="1" t="s">
        <v>36</v>
      </c>
      <c r="B4" s="3" t="s">
        <v>37</v>
      </c>
    </row>
    <row r="5" spans="1:3" x14ac:dyDescent="0.2">
      <c r="A5" s="1" t="s">
        <v>38</v>
      </c>
      <c r="B5" s="3" t="s">
        <v>39</v>
      </c>
    </row>
    <row r="6" spans="1:3" x14ac:dyDescent="0.2">
      <c r="A6" s="1" t="s">
        <v>40</v>
      </c>
      <c r="B6" s="3" t="s">
        <v>41</v>
      </c>
    </row>
    <row r="7" spans="1:3" x14ac:dyDescent="0.2">
      <c r="A7" s="1" t="s">
        <v>42</v>
      </c>
      <c r="B7" s="3" t="s">
        <v>43</v>
      </c>
    </row>
    <row r="8" spans="1:3" x14ac:dyDescent="0.2">
      <c r="A8" s="1" t="s">
        <v>44</v>
      </c>
      <c r="B8" s="3" t="s">
        <v>45</v>
      </c>
    </row>
    <row r="9" spans="1:3" x14ac:dyDescent="0.2">
      <c r="A9" s="1" t="s">
        <v>46</v>
      </c>
      <c r="B9" s="3" t="s">
        <v>47</v>
      </c>
    </row>
    <row r="10" spans="1:3" x14ac:dyDescent="0.2">
      <c r="A10" s="1" t="s">
        <v>48</v>
      </c>
      <c r="B10" s="3" t="s">
        <v>49</v>
      </c>
    </row>
    <row r="11" spans="1:3" x14ac:dyDescent="0.2">
      <c r="A11" s="1" t="s">
        <v>50</v>
      </c>
      <c r="B11" s="3" t="s">
        <v>51</v>
      </c>
    </row>
    <row r="12" spans="1:3" x14ac:dyDescent="0.2">
      <c r="A12" s="1" t="s">
        <v>52</v>
      </c>
      <c r="B12" s="3" t="s">
        <v>53</v>
      </c>
    </row>
    <row r="13" spans="1:3" x14ac:dyDescent="0.2">
      <c r="B13" s="1" t="s">
        <v>54</v>
      </c>
      <c r="C13" s="1" t="s">
        <v>55</v>
      </c>
    </row>
    <row r="14" spans="1:3" x14ac:dyDescent="0.2">
      <c r="C14" s="1" t="s">
        <v>56</v>
      </c>
    </row>
    <row r="15" spans="1:3" x14ac:dyDescent="0.2">
      <c r="C15" s="1" t="s">
        <v>57</v>
      </c>
    </row>
    <row r="16" spans="1:3" x14ac:dyDescent="0.2">
      <c r="A16" s="1" t="s">
        <v>58</v>
      </c>
      <c r="B16" s="3" t="s">
        <v>59</v>
      </c>
    </row>
    <row r="17" spans="1:2" x14ac:dyDescent="0.2">
      <c r="A17" s="1" t="s">
        <v>60</v>
      </c>
      <c r="B17" s="3" t="s">
        <v>61</v>
      </c>
    </row>
    <row r="18" spans="1:2" x14ac:dyDescent="0.2">
      <c r="A18" s="1" t="s">
        <v>62</v>
      </c>
      <c r="B18" s="3" t="s">
        <v>63</v>
      </c>
    </row>
  </sheetData>
  <pageMargins left="0.7" right="0.7" top="0.75" bottom="0.75" header="0.3" footer="0.3"/>
  <ignoredErrors>
    <ignoredError sqref="A4:A1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U115"/>
  <sheetViews>
    <sheetView zoomScaleNormal="100" workbookViewId="0">
      <pane ySplit="1" topLeftCell="A2" activePane="bottomLeft" state="frozen"/>
      <selection pane="bottomLeft"/>
    </sheetView>
  </sheetViews>
  <sheetFormatPr defaultColWidth="11.42578125" defaultRowHeight="12.75" x14ac:dyDescent="0.2"/>
  <cols>
    <col min="1" max="3" width="11.42578125" style="1" customWidth="1"/>
    <col min="4" max="4" width="57.28515625" style="1" customWidth="1"/>
    <col min="5" max="5" width="11.28515625" style="1" customWidth="1"/>
    <col min="6" max="7" width="11.42578125" style="1"/>
    <col min="8" max="8" width="27.140625" style="1" customWidth="1"/>
    <col min="9" max="228" width="11.42578125" style="1"/>
    <col min="229" max="229" width="11.42578125" style="34"/>
    <col min="230" max="16384" width="11.42578125" style="1"/>
  </cols>
  <sheetData>
    <row r="1" spans="1:229" s="4" customFormat="1" ht="58.5" customHeight="1" x14ac:dyDescent="0.2">
      <c r="A1" s="4" t="s">
        <v>64</v>
      </c>
      <c r="B1" s="4" t="s">
        <v>65</v>
      </c>
      <c r="C1" s="4" t="s">
        <v>66</v>
      </c>
      <c r="D1" s="4" t="s">
        <v>67</v>
      </c>
      <c r="E1" s="4" t="s">
        <v>6</v>
      </c>
      <c r="F1" s="4" t="s">
        <v>239</v>
      </c>
      <c r="G1" s="4" t="s">
        <v>68</v>
      </c>
      <c r="H1" s="4" t="s">
        <v>69</v>
      </c>
      <c r="I1" s="4" t="s">
        <v>13</v>
      </c>
      <c r="J1" s="4" t="s">
        <v>70</v>
      </c>
      <c r="K1" s="4" t="s">
        <v>71</v>
      </c>
      <c r="L1" s="4" t="s">
        <v>6211</v>
      </c>
      <c r="M1" s="4" t="s">
        <v>19</v>
      </c>
      <c r="N1" s="4" t="s">
        <v>72</v>
      </c>
      <c r="O1" s="4" t="s">
        <v>7164</v>
      </c>
      <c r="P1" s="4" t="s">
        <v>1069</v>
      </c>
      <c r="Q1" s="55" t="s">
        <v>243</v>
      </c>
      <c r="R1" s="4" t="s">
        <v>244</v>
      </c>
      <c r="S1" s="4" t="s">
        <v>6806</v>
      </c>
      <c r="T1" s="4" t="s">
        <v>1070</v>
      </c>
      <c r="U1" s="4" t="s">
        <v>73</v>
      </c>
      <c r="V1" s="4" t="s">
        <v>245</v>
      </c>
      <c r="W1" s="4" t="s">
        <v>74</v>
      </c>
      <c r="X1" s="4" t="s">
        <v>1071</v>
      </c>
      <c r="Y1" s="47" t="s">
        <v>1072</v>
      </c>
      <c r="Z1" s="47" t="s">
        <v>7458</v>
      </c>
      <c r="AA1" s="4" t="s">
        <v>7459</v>
      </c>
      <c r="AB1" s="4" t="s">
        <v>6212</v>
      </c>
      <c r="AC1" s="47" t="s">
        <v>7017</v>
      </c>
      <c r="AD1" s="4" t="s">
        <v>246</v>
      </c>
      <c r="AE1" s="55" t="s">
        <v>1073</v>
      </c>
      <c r="AF1" s="4" t="s">
        <v>76</v>
      </c>
      <c r="AG1" s="4" t="s">
        <v>77</v>
      </c>
      <c r="AH1" s="4" t="s">
        <v>1074</v>
      </c>
      <c r="AI1" s="4" t="s">
        <v>1075</v>
      </c>
      <c r="AJ1" s="55" t="s">
        <v>1076</v>
      </c>
      <c r="AK1" s="4" t="s">
        <v>78</v>
      </c>
      <c r="AL1" s="4" t="s">
        <v>1077</v>
      </c>
      <c r="AM1" s="4" t="s">
        <v>79</v>
      </c>
      <c r="AN1" s="4" t="s">
        <v>6213</v>
      </c>
      <c r="AO1" s="4" t="s">
        <v>6214</v>
      </c>
      <c r="AP1" s="4" t="s">
        <v>7021</v>
      </c>
      <c r="AQ1" s="55" t="s">
        <v>247</v>
      </c>
      <c r="AR1" s="4" t="s">
        <v>81</v>
      </c>
      <c r="AS1" s="4" t="s">
        <v>248</v>
      </c>
      <c r="AT1" s="4" t="s">
        <v>7062</v>
      </c>
      <c r="AU1" s="4" t="s">
        <v>6217</v>
      </c>
      <c r="AV1" s="4" t="s">
        <v>6218</v>
      </c>
      <c r="AW1" s="55" t="s">
        <v>7063</v>
      </c>
      <c r="AX1" s="55" t="s">
        <v>6215</v>
      </c>
      <c r="AY1" s="4" t="s">
        <v>7061</v>
      </c>
      <c r="AZ1" s="55" t="s">
        <v>6216</v>
      </c>
      <c r="BA1" s="4" t="s">
        <v>6262</v>
      </c>
      <c r="BB1" s="55" t="s">
        <v>6219</v>
      </c>
      <c r="BC1" s="4" t="s">
        <v>7178</v>
      </c>
      <c r="BD1" s="4" t="s">
        <v>7024</v>
      </c>
      <c r="BE1" s="4" t="s">
        <v>82</v>
      </c>
      <c r="BF1" s="4" t="s">
        <v>83</v>
      </c>
      <c r="BG1" s="55" t="s">
        <v>6222</v>
      </c>
      <c r="BH1" s="55" t="s">
        <v>6223</v>
      </c>
      <c r="BI1" s="4" t="s">
        <v>6221</v>
      </c>
      <c r="BJ1" s="4" t="s">
        <v>6220</v>
      </c>
      <c r="BK1" s="47" t="s">
        <v>6264</v>
      </c>
      <c r="BL1" s="47" t="s">
        <v>7183</v>
      </c>
      <c r="BM1" s="47" t="s">
        <v>84</v>
      </c>
      <c r="BN1" s="47" t="s">
        <v>1081</v>
      </c>
      <c r="BO1" s="4" t="s">
        <v>85</v>
      </c>
      <c r="BP1" s="55" t="s">
        <v>250</v>
      </c>
      <c r="BQ1" s="4" t="s">
        <v>86</v>
      </c>
      <c r="BR1" s="4" t="s">
        <v>87</v>
      </c>
      <c r="BS1" s="4" t="s">
        <v>88</v>
      </c>
      <c r="BT1" s="4" t="s">
        <v>251</v>
      </c>
      <c r="BU1" s="4" t="s">
        <v>89</v>
      </c>
      <c r="BV1" s="4" t="s">
        <v>90</v>
      </c>
      <c r="BW1" s="4" t="s">
        <v>91</v>
      </c>
      <c r="BX1" s="4" t="s">
        <v>1090</v>
      </c>
      <c r="BY1" s="4" t="s">
        <v>92</v>
      </c>
      <c r="BZ1" s="4" t="s">
        <v>249</v>
      </c>
      <c r="CA1" s="4" t="s">
        <v>1093</v>
      </c>
      <c r="CB1" s="4" t="s">
        <v>7074</v>
      </c>
      <c r="CC1" s="4" t="s">
        <v>1094</v>
      </c>
      <c r="CD1" s="4" t="s">
        <v>1082</v>
      </c>
      <c r="CE1" s="4" t="s">
        <v>1083</v>
      </c>
      <c r="CF1" s="4" t="s">
        <v>1095</v>
      </c>
      <c r="CG1" s="4" t="s">
        <v>1084</v>
      </c>
      <c r="CH1" s="4" t="s">
        <v>7151</v>
      </c>
      <c r="CI1" s="4" t="s">
        <v>1087</v>
      </c>
      <c r="CJ1" s="55" t="s">
        <v>252</v>
      </c>
      <c r="CK1" s="4" t="s">
        <v>1088</v>
      </c>
      <c r="CL1" s="4" t="s">
        <v>1089</v>
      </c>
      <c r="CM1" s="4" t="s">
        <v>7185</v>
      </c>
      <c r="CN1" s="4" t="s">
        <v>1092</v>
      </c>
      <c r="CO1" s="55" t="s">
        <v>253</v>
      </c>
      <c r="CP1" s="4" t="s">
        <v>254</v>
      </c>
      <c r="CQ1" s="4" t="s">
        <v>1099</v>
      </c>
      <c r="CR1" s="4" t="s">
        <v>255</v>
      </c>
      <c r="CS1" s="4" t="s">
        <v>1102</v>
      </c>
      <c r="CT1" s="4" t="s">
        <v>256</v>
      </c>
      <c r="CU1" s="4" t="s">
        <v>6230</v>
      </c>
      <c r="CV1" s="4" t="s">
        <v>7190</v>
      </c>
      <c r="CW1" s="4" t="s">
        <v>7032</v>
      </c>
      <c r="CX1" s="4" t="s">
        <v>6233</v>
      </c>
      <c r="CY1" s="58" t="s">
        <v>7035</v>
      </c>
      <c r="CZ1" s="58" t="s">
        <v>7191</v>
      </c>
      <c r="DA1" s="58" t="s">
        <v>7192</v>
      </c>
      <c r="DB1" s="4" t="s">
        <v>258</v>
      </c>
      <c r="DC1" s="4" t="s">
        <v>7081</v>
      </c>
      <c r="DD1" s="58" t="s">
        <v>6235</v>
      </c>
      <c r="DE1" s="4" t="s">
        <v>7203</v>
      </c>
      <c r="DF1" s="4" t="s">
        <v>7204</v>
      </c>
      <c r="DG1" s="4" t="s">
        <v>6606</v>
      </c>
      <c r="DH1" s="4" t="s">
        <v>1103</v>
      </c>
      <c r="DI1" s="4" t="s">
        <v>6609</v>
      </c>
      <c r="DJ1" s="4" t="s">
        <v>6850</v>
      </c>
      <c r="DK1" s="60" t="s">
        <v>7209</v>
      </c>
      <c r="DL1" s="55" t="s">
        <v>6236</v>
      </c>
      <c r="DM1" s="4" t="s">
        <v>1105</v>
      </c>
      <c r="DN1" s="4" t="s">
        <v>1106</v>
      </c>
      <c r="DO1" s="4" t="s">
        <v>7210</v>
      </c>
      <c r="DP1" s="4" t="s">
        <v>7088</v>
      </c>
      <c r="DQ1" s="4" t="s">
        <v>7089</v>
      </c>
      <c r="DR1" s="58" t="s">
        <v>7211</v>
      </c>
      <c r="DS1" s="4" t="s">
        <v>6237</v>
      </c>
      <c r="DT1" s="4" t="s">
        <v>93</v>
      </c>
      <c r="DU1" s="4" t="s">
        <v>94</v>
      </c>
      <c r="DV1" s="4" t="s">
        <v>6864</v>
      </c>
      <c r="DW1" s="4" t="s">
        <v>1107</v>
      </c>
      <c r="DX1" s="4" t="s">
        <v>6266</v>
      </c>
      <c r="DY1" s="4" t="s">
        <v>95</v>
      </c>
      <c r="DZ1" s="4" t="s">
        <v>1108</v>
      </c>
      <c r="EA1" s="4" t="s">
        <v>1109</v>
      </c>
      <c r="EB1" s="4" t="s">
        <v>6615</v>
      </c>
      <c r="EC1" s="4" t="s">
        <v>1110</v>
      </c>
      <c r="ED1" s="4" t="s">
        <v>7222</v>
      </c>
      <c r="EE1" s="4" t="s">
        <v>1113</v>
      </c>
      <c r="EF1" s="4" t="s">
        <v>7225</v>
      </c>
      <c r="EG1" s="4" t="s">
        <v>7226</v>
      </c>
      <c r="EH1" s="4" t="s">
        <v>7227</v>
      </c>
      <c r="EI1" s="4" t="s">
        <v>7228</v>
      </c>
      <c r="EJ1" s="4" t="s">
        <v>6867</v>
      </c>
      <c r="EK1" s="4" t="s">
        <v>1114</v>
      </c>
      <c r="EL1" s="55" t="s">
        <v>263</v>
      </c>
      <c r="EM1" s="4" t="s">
        <v>96</v>
      </c>
      <c r="EN1" s="4" t="s">
        <v>97</v>
      </c>
      <c r="EO1" s="4" t="s">
        <v>98</v>
      </c>
      <c r="EP1" s="4" t="s">
        <v>99</v>
      </c>
      <c r="EQ1" s="47" t="s">
        <v>100</v>
      </c>
      <c r="ER1" s="47" t="s">
        <v>1115</v>
      </c>
      <c r="ES1" s="47" t="s">
        <v>7234</v>
      </c>
      <c r="ET1" s="16" t="s">
        <v>7238</v>
      </c>
      <c r="EU1" s="47" t="s">
        <v>101</v>
      </c>
      <c r="EV1" s="16" t="s">
        <v>7236</v>
      </c>
      <c r="EW1" s="47" t="s">
        <v>6224</v>
      </c>
      <c r="EX1" s="55" t="s">
        <v>5155</v>
      </c>
      <c r="EY1" s="4" t="s">
        <v>5156</v>
      </c>
      <c r="EZ1" s="4" t="s">
        <v>112</v>
      </c>
      <c r="FA1" s="47" t="s">
        <v>113</v>
      </c>
      <c r="FB1" s="4" t="s">
        <v>114</v>
      </c>
      <c r="FC1" s="4" t="s">
        <v>115</v>
      </c>
      <c r="FD1" s="4" t="s">
        <v>116</v>
      </c>
      <c r="FE1" s="47" t="s">
        <v>117</v>
      </c>
      <c r="FF1" s="4" t="s">
        <v>118</v>
      </c>
      <c r="FG1" s="4" t="s">
        <v>119</v>
      </c>
      <c r="FH1" s="47" t="s">
        <v>120</v>
      </c>
      <c r="FI1" s="4" t="s">
        <v>121</v>
      </c>
      <c r="FJ1" s="4" t="s">
        <v>122</v>
      </c>
      <c r="FK1" s="4" t="s">
        <v>123</v>
      </c>
      <c r="FL1" s="4" t="s">
        <v>124</v>
      </c>
      <c r="FM1" s="4" t="s">
        <v>125</v>
      </c>
      <c r="FN1" s="4" t="s">
        <v>126</v>
      </c>
      <c r="FO1" s="4" t="s">
        <v>127</v>
      </c>
      <c r="FP1" s="47" t="s">
        <v>128</v>
      </c>
      <c r="FQ1" s="4" t="s">
        <v>129</v>
      </c>
      <c r="FR1" s="4" t="s">
        <v>130</v>
      </c>
      <c r="FS1" s="47" t="s">
        <v>131</v>
      </c>
      <c r="FT1" s="4" t="s">
        <v>132</v>
      </c>
      <c r="FU1" s="55" t="s">
        <v>5255</v>
      </c>
      <c r="FV1" s="47" t="s">
        <v>102</v>
      </c>
      <c r="FW1" s="47" t="s">
        <v>103</v>
      </c>
      <c r="FX1" s="47" t="s">
        <v>104</v>
      </c>
      <c r="FY1" s="47" t="s">
        <v>105</v>
      </c>
      <c r="FZ1" s="47" t="s">
        <v>106</v>
      </c>
      <c r="GA1" s="47" t="s">
        <v>107</v>
      </c>
      <c r="GB1" s="47" t="s">
        <v>108</v>
      </c>
      <c r="GC1" s="47" t="s">
        <v>109</v>
      </c>
      <c r="GD1" s="47" t="s">
        <v>110</v>
      </c>
      <c r="GE1" s="47" t="s">
        <v>111</v>
      </c>
      <c r="GF1" s="4" t="s">
        <v>133</v>
      </c>
      <c r="GG1" s="4" t="s">
        <v>134</v>
      </c>
      <c r="GH1" s="4" t="s">
        <v>135</v>
      </c>
      <c r="GI1" s="55" t="s">
        <v>267</v>
      </c>
      <c r="GJ1" s="4" t="s">
        <v>136</v>
      </c>
      <c r="GK1" s="55" t="s">
        <v>1119</v>
      </c>
      <c r="GL1" s="4" t="s">
        <v>137</v>
      </c>
      <c r="GM1" s="4" t="s">
        <v>138</v>
      </c>
      <c r="GN1" s="4" t="s">
        <v>139</v>
      </c>
      <c r="GO1" s="4" t="s">
        <v>140</v>
      </c>
      <c r="GP1" s="4" t="s">
        <v>141</v>
      </c>
      <c r="GQ1" s="4" t="s">
        <v>142</v>
      </c>
      <c r="GR1" s="4" t="s">
        <v>143</v>
      </c>
      <c r="GS1" s="4" t="s">
        <v>144</v>
      </c>
      <c r="GT1" s="4" t="s">
        <v>145</v>
      </c>
      <c r="GU1" s="4" t="s">
        <v>146</v>
      </c>
      <c r="GV1" s="4" t="s">
        <v>147</v>
      </c>
      <c r="GW1" s="4" t="s">
        <v>148</v>
      </c>
      <c r="GX1" s="4" t="s">
        <v>149</v>
      </c>
      <c r="GY1" s="4" t="s">
        <v>150</v>
      </c>
      <c r="GZ1" s="16" t="s">
        <v>7241</v>
      </c>
      <c r="HA1" s="4" t="s">
        <v>1116</v>
      </c>
      <c r="HB1" s="47" t="s">
        <v>151</v>
      </c>
      <c r="HC1" s="55" t="s">
        <v>6902</v>
      </c>
      <c r="HD1" s="55" t="s">
        <v>7244</v>
      </c>
      <c r="HE1" s="55" t="s">
        <v>268</v>
      </c>
      <c r="HF1" s="55" t="s">
        <v>6243</v>
      </c>
      <c r="HG1" s="55" t="s">
        <v>6251</v>
      </c>
      <c r="HH1" s="55" t="s">
        <v>6249</v>
      </c>
      <c r="HI1" s="55" t="s">
        <v>6250</v>
      </c>
      <c r="HJ1" s="55" t="s">
        <v>7111</v>
      </c>
      <c r="HK1" s="55" t="s">
        <v>270</v>
      </c>
      <c r="HL1" s="55" t="s">
        <v>6253</v>
      </c>
      <c r="HM1" s="55" t="s">
        <v>7114</v>
      </c>
      <c r="HN1" s="55" t="s">
        <v>6256</v>
      </c>
      <c r="HO1" s="55" t="s">
        <v>273</v>
      </c>
      <c r="HP1" s="47" t="s">
        <v>6827</v>
      </c>
      <c r="HQ1" s="47" t="s">
        <v>7117</v>
      </c>
      <c r="HR1" s="47" t="s">
        <v>272</v>
      </c>
      <c r="HS1" s="47" t="s">
        <v>269</v>
      </c>
      <c r="HT1" s="47" t="s">
        <v>7253</v>
      </c>
      <c r="HU1" s="47"/>
    </row>
    <row r="2" spans="1:229" s="5" customFormat="1" ht="58.5" customHeight="1" x14ac:dyDescent="0.2">
      <c r="B2" s="5" t="s">
        <v>152</v>
      </c>
      <c r="E2" s="5" t="s">
        <v>153</v>
      </c>
      <c r="G2" s="5" t="s">
        <v>154</v>
      </c>
      <c r="H2" s="5" t="s">
        <v>155</v>
      </c>
      <c r="I2" s="5" t="s">
        <v>14</v>
      </c>
      <c r="O2" s="5" t="s">
        <v>7165</v>
      </c>
      <c r="P2" s="5" t="s">
        <v>1136</v>
      </c>
      <c r="Q2" s="56" t="s">
        <v>6714</v>
      </c>
      <c r="R2" s="5" t="s">
        <v>7166</v>
      </c>
      <c r="S2" s="5" t="s">
        <v>7167</v>
      </c>
      <c r="T2" s="5" t="s">
        <v>7167</v>
      </c>
      <c r="U2" s="5" t="s">
        <v>156</v>
      </c>
      <c r="V2" s="5" t="s">
        <v>275</v>
      </c>
      <c r="W2" s="5" t="s">
        <v>157</v>
      </c>
      <c r="X2" s="5" t="s">
        <v>1139</v>
      </c>
      <c r="Y2" s="48" t="s">
        <v>7251</v>
      </c>
      <c r="Z2" s="5" t="s">
        <v>7168</v>
      </c>
      <c r="AA2" s="5" t="s">
        <v>7169</v>
      </c>
      <c r="AB2" s="5" t="s">
        <v>158</v>
      </c>
      <c r="AC2" s="48" t="s">
        <v>7248</v>
      </c>
      <c r="AD2" s="5" t="s">
        <v>159</v>
      </c>
      <c r="AE2" s="56" t="s">
        <v>6718</v>
      </c>
      <c r="AF2" s="5" t="s">
        <v>160</v>
      </c>
      <c r="AG2" s="5" t="s">
        <v>161</v>
      </c>
      <c r="AH2" s="5" t="s">
        <v>6811</v>
      </c>
      <c r="AI2" s="5" t="s">
        <v>1144</v>
      </c>
      <c r="AJ2" s="56" t="s">
        <v>6812</v>
      </c>
      <c r="AK2" s="5" t="s">
        <v>162</v>
      </c>
      <c r="AL2" s="5" t="s">
        <v>1147</v>
      </c>
      <c r="AM2" s="5" t="s">
        <v>163</v>
      </c>
      <c r="AN2" s="5" t="s">
        <v>7170</v>
      </c>
      <c r="AO2" s="5" t="s">
        <v>164</v>
      </c>
      <c r="AP2" s="5" t="s">
        <v>7171</v>
      </c>
      <c r="AQ2" s="56" t="s">
        <v>6814</v>
      </c>
      <c r="AR2" s="5" t="s">
        <v>165</v>
      </c>
      <c r="AS2" s="5" t="s">
        <v>280</v>
      </c>
      <c r="AT2" s="5" t="s">
        <v>7172</v>
      </c>
      <c r="AU2" s="5" t="s">
        <v>7173</v>
      </c>
      <c r="AV2" s="5" t="s">
        <v>7174</v>
      </c>
      <c r="AW2" s="56" t="s">
        <v>7067</v>
      </c>
      <c r="AX2" s="56" t="s">
        <v>6723</v>
      </c>
      <c r="AY2" s="5" t="s">
        <v>7175</v>
      </c>
      <c r="AZ2" s="56" t="s">
        <v>7176</v>
      </c>
      <c r="BA2" s="5" t="s">
        <v>7177</v>
      </c>
      <c r="BB2" s="56" t="s">
        <v>6816</v>
      </c>
      <c r="BC2" s="5" t="s">
        <v>7179</v>
      </c>
      <c r="BD2" s="5" t="s">
        <v>7180</v>
      </c>
      <c r="BE2" s="5" t="s">
        <v>166</v>
      </c>
      <c r="BF2" s="5" t="s">
        <v>167</v>
      </c>
      <c r="BG2" s="56" t="s">
        <v>7026</v>
      </c>
      <c r="BH2" s="56" t="s">
        <v>7027</v>
      </c>
      <c r="BI2" s="5" t="s">
        <v>7181</v>
      </c>
      <c r="BJ2" s="5" t="s">
        <v>7182</v>
      </c>
      <c r="BK2" s="48" t="s">
        <v>7252</v>
      </c>
      <c r="BL2" s="48" t="s">
        <v>7184</v>
      </c>
      <c r="BM2" s="48" t="s">
        <v>168</v>
      </c>
      <c r="BN2" s="48" t="s">
        <v>1152</v>
      </c>
      <c r="BO2" s="5" t="s">
        <v>169</v>
      </c>
      <c r="BP2" s="56" t="s">
        <v>6822</v>
      </c>
      <c r="BQ2" s="5" t="s">
        <v>170</v>
      </c>
      <c r="BR2" s="5" t="s">
        <v>171</v>
      </c>
      <c r="BS2" s="5" t="s">
        <v>172</v>
      </c>
      <c r="BT2" s="5" t="s">
        <v>286</v>
      </c>
      <c r="BU2" s="5" t="s">
        <v>173</v>
      </c>
      <c r="BV2" s="5" t="s">
        <v>174</v>
      </c>
      <c r="BW2" s="5" t="s">
        <v>175</v>
      </c>
      <c r="BX2" s="5" t="s">
        <v>1161</v>
      </c>
      <c r="BY2" s="5" t="s">
        <v>176</v>
      </c>
      <c r="BZ2" s="5" t="s">
        <v>283</v>
      </c>
      <c r="CA2" s="5" t="s">
        <v>1164</v>
      </c>
      <c r="CB2" s="5" t="s">
        <v>7186</v>
      </c>
      <c r="CC2" s="5" t="s">
        <v>1165</v>
      </c>
      <c r="CD2" s="5" t="s">
        <v>7187</v>
      </c>
      <c r="CE2" s="5" t="s">
        <v>1154</v>
      </c>
      <c r="CF2" s="5" t="s">
        <v>1166</v>
      </c>
      <c r="CG2" s="5" t="s">
        <v>1155</v>
      </c>
      <c r="CH2" s="5" t="s">
        <v>7188</v>
      </c>
      <c r="CI2" s="5" t="s">
        <v>1158</v>
      </c>
      <c r="CJ2" s="56" t="s">
        <v>6834</v>
      </c>
      <c r="CK2" s="5" t="s">
        <v>1159</v>
      </c>
      <c r="CL2" s="5" t="s">
        <v>1160</v>
      </c>
      <c r="CM2" s="5" t="s">
        <v>7189</v>
      </c>
      <c r="CN2" s="5" t="s">
        <v>1163</v>
      </c>
      <c r="CO2" s="56" t="s">
        <v>6838</v>
      </c>
      <c r="CP2" s="5" t="s">
        <v>289</v>
      </c>
      <c r="CQ2" s="5" t="s">
        <v>1170</v>
      </c>
      <c r="CR2" s="5" t="s">
        <v>290</v>
      </c>
      <c r="CS2" s="5" t="s">
        <v>7193</v>
      </c>
      <c r="CT2" s="5" t="s">
        <v>291</v>
      </c>
      <c r="CU2" s="5" t="s">
        <v>7194</v>
      </c>
      <c r="CV2" s="5" t="s">
        <v>7195</v>
      </c>
      <c r="CW2" s="5" t="s">
        <v>7196</v>
      </c>
      <c r="CX2" s="5" t="s">
        <v>7197</v>
      </c>
      <c r="CY2" s="59" t="s">
        <v>7198</v>
      </c>
      <c r="CZ2" s="59" t="s">
        <v>7199</v>
      </c>
      <c r="DA2" s="59" t="s">
        <v>7200</v>
      </c>
      <c r="DB2" s="5" t="s">
        <v>293</v>
      </c>
      <c r="DC2" s="5" t="s">
        <v>7201</v>
      </c>
      <c r="DD2" s="59" t="s">
        <v>7202</v>
      </c>
      <c r="DE2" s="5" t="s">
        <v>7205</v>
      </c>
      <c r="DF2" s="5" t="s">
        <v>7206</v>
      </c>
      <c r="DG2" s="5" t="s">
        <v>7207</v>
      </c>
      <c r="DH2" s="5" t="s">
        <v>1175</v>
      </c>
      <c r="DI2" s="5" t="s">
        <v>6858</v>
      </c>
      <c r="DJ2" s="5" t="s">
        <v>7208</v>
      </c>
      <c r="DK2" s="5" t="s">
        <v>7212</v>
      </c>
      <c r="DL2" s="56" t="s">
        <v>6860</v>
      </c>
      <c r="DM2" s="5" t="s">
        <v>7213</v>
      </c>
      <c r="DN2" s="5" t="s">
        <v>7214</v>
      </c>
      <c r="DO2" s="5" t="s">
        <v>7215</v>
      </c>
      <c r="DP2" s="5" t="s">
        <v>7216</v>
      </c>
      <c r="DQ2" s="5" t="s">
        <v>7217</v>
      </c>
      <c r="DR2" s="5" t="s">
        <v>7218</v>
      </c>
      <c r="DS2" s="5" t="s">
        <v>7219</v>
      </c>
      <c r="DT2" s="5" t="s">
        <v>177</v>
      </c>
      <c r="DU2" s="5" t="s">
        <v>178</v>
      </c>
      <c r="DV2" s="5" t="s">
        <v>7220</v>
      </c>
      <c r="DW2" s="5" t="s">
        <v>1179</v>
      </c>
      <c r="DX2" s="5" t="s">
        <v>7221</v>
      </c>
      <c r="DY2" s="5" t="s">
        <v>179</v>
      </c>
      <c r="DZ2" s="5" t="s">
        <v>1180</v>
      </c>
      <c r="EA2" s="5" t="s">
        <v>1181</v>
      </c>
      <c r="EB2" s="5" t="s">
        <v>6708</v>
      </c>
      <c r="EC2" s="5" t="s">
        <v>1182</v>
      </c>
      <c r="ED2" s="5" t="s">
        <v>7223</v>
      </c>
      <c r="EE2" s="5" t="s">
        <v>7224</v>
      </c>
      <c r="EF2" s="5" t="s">
        <v>7229</v>
      </c>
      <c r="EG2" s="5" t="s">
        <v>7230</v>
      </c>
      <c r="EH2" s="5" t="s">
        <v>7231</v>
      </c>
      <c r="EI2" s="5" t="s">
        <v>7232</v>
      </c>
      <c r="EJ2" s="5" t="s">
        <v>7233</v>
      </c>
      <c r="EK2" s="5" t="s">
        <v>1186</v>
      </c>
      <c r="EL2" s="56" t="s">
        <v>298</v>
      </c>
      <c r="EM2" s="5" t="s">
        <v>180</v>
      </c>
      <c r="EN2" s="5" t="s">
        <v>181</v>
      </c>
      <c r="EO2" s="5" t="s">
        <v>182</v>
      </c>
      <c r="EP2" s="5" t="s">
        <v>183</v>
      </c>
      <c r="EQ2" s="48" t="s">
        <v>184</v>
      </c>
      <c r="ER2" s="48" t="s">
        <v>1187</v>
      </c>
      <c r="ES2" s="48" t="s">
        <v>7235</v>
      </c>
      <c r="ET2" s="43" t="s">
        <v>7239</v>
      </c>
      <c r="EU2" s="48" t="s">
        <v>185</v>
      </c>
      <c r="EV2" s="43" t="s">
        <v>7237</v>
      </c>
      <c r="EW2" s="48" t="s">
        <v>7249</v>
      </c>
      <c r="EX2" s="56" t="s">
        <v>7102</v>
      </c>
      <c r="EY2" s="5" t="s">
        <v>7240</v>
      </c>
      <c r="EZ2" s="5" t="s">
        <v>196</v>
      </c>
      <c r="FA2" s="48" t="s">
        <v>197</v>
      </c>
      <c r="FB2" s="5" t="s">
        <v>198</v>
      </c>
      <c r="FC2" s="5" t="s">
        <v>199</v>
      </c>
      <c r="FD2" s="5" t="s">
        <v>200</v>
      </c>
      <c r="FE2" s="48" t="s">
        <v>201</v>
      </c>
      <c r="FF2" s="5" t="s">
        <v>202</v>
      </c>
      <c r="FG2" s="5" t="s">
        <v>203</v>
      </c>
      <c r="FH2" s="48" t="s">
        <v>204</v>
      </c>
      <c r="FI2" s="5" t="s">
        <v>205</v>
      </c>
      <c r="FJ2" s="5" t="s">
        <v>206</v>
      </c>
      <c r="FK2" s="5" t="s">
        <v>207</v>
      </c>
      <c r="FL2" s="5" t="s">
        <v>208</v>
      </c>
      <c r="FM2" s="5" t="s">
        <v>209</v>
      </c>
      <c r="FN2" s="5" t="s">
        <v>210</v>
      </c>
      <c r="FO2" s="5" t="s">
        <v>211</v>
      </c>
      <c r="FP2" s="48" t="s">
        <v>212</v>
      </c>
      <c r="FQ2" s="5" t="s">
        <v>213</v>
      </c>
      <c r="FR2" s="5" t="s">
        <v>214</v>
      </c>
      <c r="FS2" s="48" t="s">
        <v>215</v>
      </c>
      <c r="FT2" s="5" t="s">
        <v>216</v>
      </c>
      <c r="FU2" s="56" t="s">
        <v>6989</v>
      </c>
      <c r="FV2" s="48" t="s">
        <v>186</v>
      </c>
      <c r="FW2" s="48" t="s">
        <v>187</v>
      </c>
      <c r="FX2" s="48" t="s">
        <v>188</v>
      </c>
      <c r="FY2" s="48" t="s">
        <v>189</v>
      </c>
      <c r="FZ2" s="48" t="s">
        <v>190</v>
      </c>
      <c r="GA2" s="48" t="s">
        <v>191</v>
      </c>
      <c r="GB2" s="48" t="s">
        <v>192</v>
      </c>
      <c r="GC2" s="48" t="s">
        <v>193</v>
      </c>
      <c r="GD2" s="48" t="s">
        <v>194</v>
      </c>
      <c r="GE2" s="48" t="s">
        <v>195</v>
      </c>
      <c r="GF2" s="5" t="s">
        <v>217</v>
      </c>
      <c r="GG2" s="5" t="s">
        <v>218</v>
      </c>
      <c r="GH2" s="5" t="s">
        <v>219</v>
      </c>
      <c r="GI2" s="56" t="s">
        <v>6797</v>
      </c>
      <c r="GJ2" s="5" t="s">
        <v>220</v>
      </c>
      <c r="GK2" s="56" t="s">
        <v>7008</v>
      </c>
      <c r="GL2" s="5" t="s">
        <v>221</v>
      </c>
      <c r="GM2" s="5" t="s">
        <v>222</v>
      </c>
      <c r="GN2" s="5" t="s">
        <v>223</v>
      </c>
      <c r="GO2" s="5" t="s">
        <v>224</v>
      </c>
      <c r="GP2" s="5" t="s">
        <v>225</v>
      </c>
      <c r="GQ2" s="5" t="s">
        <v>226</v>
      </c>
      <c r="GR2" s="5" t="s">
        <v>227</v>
      </c>
      <c r="GS2" s="5" t="s">
        <v>228</v>
      </c>
      <c r="GT2" s="5" t="s">
        <v>229</v>
      </c>
      <c r="GU2" s="5" t="s">
        <v>230</v>
      </c>
      <c r="GV2" s="5" t="s">
        <v>231</v>
      </c>
      <c r="GW2" s="5" t="s">
        <v>232</v>
      </c>
      <c r="GX2" s="5" t="s">
        <v>233</v>
      </c>
      <c r="GY2" s="5" t="s">
        <v>234</v>
      </c>
      <c r="GZ2" s="43" t="s">
        <v>7242</v>
      </c>
      <c r="HA2" s="5" t="s">
        <v>7243</v>
      </c>
      <c r="HB2" s="48" t="s">
        <v>235</v>
      </c>
      <c r="HC2" s="56" t="s">
        <v>7012</v>
      </c>
      <c r="HD2" s="56" t="s">
        <v>7245</v>
      </c>
      <c r="HE2" s="56" t="s">
        <v>6801</v>
      </c>
      <c r="HF2" s="56" t="s">
        <v>7042</v>
      </c>
      <c r="HG2" s="56" t="s">
        <v>7130</v>
      </c>
      <c r="HH2" s="56" t="s">
        <v>7128</v>
      </c>
      <c r="HI2" s="56" t="s">
        <v>7129</v>
      </c>
      <c r="HJ2" s="56" t="s">
        <v>7136</v>
      </c>
      <c r="HK2" s="56" t="s">
        <v>7050</v>
      </c>
      <c r="HL2" s="56" t="s">
        <v>7052</v>
      </c>
      <c r="HM2" s="56" t="s">
        <v>7139</v>
      </c>
      <c r="HN2" s="56" t="s">
        <v>7053</v>
      </c>
      <c r="HO2" s="56" t="s">
        <v>7146</v>
      </c>
      <c r="HP2" s="48" t="s">
        <v>7246</v>
      </c>
      <c r="HQ2" s="48" t="s">
        <v>7247</v>
      </c>
      <c r="HR2" s="48" t="s">
        <v>7250</v>
      </c>
      <c r="HS2" s="48" t="s">
        <v>303</v>
      </c>
      <c r="HT2" s="48" t="s">
        <v>7054</v>
      </c>
      <c r="HU2" s="48"/>
    </row>
    <row r="3" spans="1:229" s="61" customFormat="1" ht="58.5" hidden="1" customHeight="1" x14ac:dyDescent="0.2">
      <c r="O3" s="61" t="str">
        <f t="shared" ref="O3:AC3" si="0">IF(COUNTA(O4:O65524)=0,"","01")</f>
        <v>01</v>
      </c>
      <c r="P3" s="61" t="str">
        <f t="shared" si="0"/>
        <v>01</v>
      </c>
      <c r="Q3" s="61" t="str">
        <f t="shared" si="0"/>
        <v>01</v>
      </c>
      <c r="R3" s="61" t="str">
        <f t="shared" si="0"/>
        <v>01</v>
      </c>
      <c r="S3" s="61" t="str">
        <f t="shared" si="0"/>
        <v>01</v>
      </c>
      <c r="T3" s="61" t="str">
        <f t="shared" si="0"/>
        <v>01</v>
      </c>
      <c r="U3" s="61" t="str">
        <f t="shared" si="0"/>
        <v>01</v>
      </c>
      <c r="V3" s="61" t="str">
        <f t="shared" si="0"/>
        <v>01</v>
      </c>
      <c r="W3" s="61" t="str">
        <f t="shared" si="0"/>
        <v>01</v>
      </c>
      <c r="X3" s="61" t="str">
        <f t="shared" si="0"/>
        <v>01</v>
      </c>
      <c r="Y3" s="61" t="str">
        <f t="shared" si="0"/>
        <v>01</v>
      </c>
      <c r="Z3" s="61" t="str">
        <f t="shared" si="0"/>
        <v>01</v>
      </c>
      <c r="AA3" s="61" t="str">
        <f t="shared" si="0"/>
        <v>01</v>
      </c>
      <c r="AB3" s="61" t="str">
        <f t="shared" si="0"/>
        <v>01</v>
      </c>
      <c r="AC3" s="61" t="str">
        <f t="shared" si="0"/>
        <v>01</v>
      </c>
      <c r="AD3" s="61" t="str">
        <f>IF(COUNTA(AJ4:AJ65524)=0,"","01")</f>
        <v>01</v>
      </c>
      <c r="AE3" s="61" t="str">
        <f>IF(COUNTA(AE4:AE65524)=0,"","01")</f>
        <v>01</v>
      </c>
      <c r="AF3" s="61" t="str">
        <f>IF(COUNTA(AF4:AF65524)=0,"","01")</f>
        <v>01</v>
      </c>
      <c r="AG3" s="61" t="str">
        <f>IF(COUNTA(AG4:AG65524)=0,"","01")</f>
        <v>01</v>
      </c>
      <c r="AI3" s="61" t="str">
        <f>IF(COUNTA(AI4:AI65524)=0,"","01")</f>
        <v>01</v>
      </c>
      <c r="AJ3" s="61" t="str">
        <f>IF(COUNTA(AD4:AD65524)=0,"","01")</f>
        <v>01</v>
      </c>
      <c r="AK3" s="61" t="str">
        <f t="shared" ref="AK3:BP3" si="1">IF(COUNTA(AK4:AK65524)=0,"","01")</f>
        <v>01</v>
      </c>
      <c r="AL3" s="61" t="str">
        <f t="shared" si="1"/>
        <v>01</v>
      </c>
      <c r="AM3" s="61" t="str">
        <f t="shared" si="1"/>
        <v>01</v>
      </c>
      <c r="AN3" s="61" t="str">
        <f t="shared" si="1"/>
        <v>01</v>
      </c>
      <c r="AO3" s="61" t="str">
        <f t="shared" si="1"/>
        <v>01</v>
      </c>
      <c r="AP3" s="61" t="str">
        <f t="shared" si="1"/>
        <v>01</v>
      </c>
      <c r="AQ3" s="61" t="str">
        <f t="shared" si="1"/>
        <v>01</v>
      </c>
      <c r="AR3" s="61" t="str">
        <f t="shared" si="1"/>
        <v>01</v>
      </c>
      <c r="AS3" s="61" t="str">
        <f t="shared" si="1"/>
        <v>01</v>
      </c>
      <c r="AT3" s="61" t="str">
        <f t="shared" si="1"/>
        <v>01</v>
      </c>
      <c r="AU3" s="61" t="str">
        <f t="shared" si="1"/>
        <v>01</v>
      </c>
      <c r="AV3" s="61" t="str">
        <f t="shared" si="1"/>
        <v>01</v>
      </c>
      <c r="AW3" s="61" t="str">
        <f t="shared" si="1"/>
        <v>01</v>
      </c>
      <c r="AX3" s="61" t="str">
        <f t="shared" si="1"/>
        <v>01</v>
      </c>
      <c r="AY3" s="61" t="str">
        <f t="shared" si="1"/>
        <v>01</v>
      </c>
      <c r="AZ3" s="61" t="str">
        <f t="shared" si="1"/>
        <v>01</v>
      </c>
      <c r="BA3" s="61" t="str">
        <f t="shared" si="1"/>
        <v>01</v>
      </c>
      <c r="BB3" s="61" t="str">
        <f t="shared" si="1"/>
        <v>01</v>
      </c>
      <c r="BC3" s="61" t="str">
        <f t="shared" si="1"/>
        <v>01</v>
      </c>
      <c r="BD3" s="61" t="str">
        <f t="shared" si="1"/>
        <v>01</v>
      </c>
      <c r="BE3" s="61" t="str">
        <f t="shared" si="1"/>
        <v>01</v>
      </c>
      <c r="BF3" s="61" t="str">
        <f t="shared" si="1"/>
        <v>01</v>
      </c>
      <c r="BG3" s="61" t="str">
        <f t="shared" si="1"/>
        <v>01</v>
      </c>
      <c r="BH3" s="61" t="str">
        <f t="shared" si="1"/>
        <v>01</v>
      </c>
      <c r="BI3" s="61" t="str">
        <f t="shared" si="1"/>
        <v>01</v>
      </c>
      <c r="BJ3" s="61" t="str">
        <f t="shared" si="1"/>
        <v>01</v>
      </c>
      <c r="BK3" s="61" t="str">
        <f t="shared" si="1"/>
        <v>01</v>
      </c>
      <c r="BL3" s="61" t="str">
        <f t="shared" si="1"/>
        <v>01</v>
      </c>
      <c r="BM3" s="61" t="str">
        <f t="shared" si="1"/>
        <v>01</v>
      </c>
      <c r="BN3" s="61" t="str">
        <f t="shared" si="1"/>
        <v>01</v>
      </c>
      <c r="BO3" s="61" t="str">
        <f t="shared" si="1"/>
        <v>01</v>
      </c>
      <c r="BP3" s="61" t="str">
        <f t="shared" si="1"/>
        <v>01</v>
      </c>
      <c r="BQ3" s="61" t="str">
        <f t="shared" ref="BQ3:CV3" si="2">IF(COUNTA(BQ4:BQ65524)=0,"","01")</f>
        <v>01</v>
      </c>
      <c r="BR3" s="61" t="str">
        <f t="shared" si="2"/>
        <v>01</v>
      </c>
      <c r="BS3" s="61" t="str">
        <f t="shared" si="2"/>
        <v>01</v>
      </c>
      <c r="BT3" s="61" t="str">
        <f t="shared" si="2"/>
        <v>01</v>
      </c>
      <c r="BU3" s="61" t="str">
        <f t="shared" si="2"/>
        <v>01</v>
      </c>
      <c r="BV3" s="61" t="str">
        <f t="shared" si="2"/>
        <v>01</v>
      </c>
      <c r="BW3" s="61" t="str">
        <f t="shared" si="2"/>
        <v>01</v>
      </c>
      <c r="BX3" s="61" t="str">
        <f t="shared" si="2"/>
        <v>01</v>
      </c>
      <c r="BY3" s="61" t="str">
        <f t="shared" si="2"/>
        <v>01</v>
      </c>
      <c r="BZ3" s="61" t="str">
        <f t="shared" si="2"/>
        <v>01</v>
      </c>
      <c r="CA3" s="61" t="str">
        <f t="shared" si="2"/>
        <v>01</v>
      </c>
      <c r="CB3" s="61" t="str">
        <f t="shared" si="2"/>
        <v>01</v>
      </c>
      <c r="CC3" s="61" t="str">
        <f t="shared" si="2"/>
        <v>01</v>
      </c>
      <c r="CD3" s="61" t="str">
        <f t="shared" si="2"/>
        <v>01</v>
      </c>
      <c r="CE3" s="61" t="str">
        <f t="shared" si="2"/>
        <v>01</v>
      </c>
      <c r="CF3" s="61" t="str">
        <f t="shared" si="2"/>
        <v>01</v>
      </c>
      <c r="CG3" s="61" t="str">
        <f t="shared" si="2"/>
        <v>01</v>
      </c>
      <c r="CH3" s="61" t="str">
        <f t="shared" si="2"/>
        <v>01</v>
      </c>
      <c r="CI3" s="61" t="str">
        <f t="shared" si="2"/>
        <v>01</v>
      </c>
      <c r="CJ3" s="61" t="str">
        <f t="shared" si="2"/>
        <v>01</v>
      </c>
      <c r="CK3" s="61" t="str">
        <f t="shared" si="2"/>
        <v>01</v>
      </c>
      <c r="CL3" s="61" t="str">
        <f t="shared" si="2"/>
        <v>01</v>
      </c>
      <c r="CM3" s="61" t="str">
        <f t="shared" si="2"/>
        <v>01</v>
      </c>
      <c r="CN3" s="61" t="str">
        <f t="shared" si="2"/>
        <v>01</v>
      </c>
      <c r="CO3" s="61" t="str">
        <f t="shared" si="2"/>
        <v>01</v>
      </c>
      <c r="CP3" s="61" t="str">
        <f t="shared" si="2"/>
        <v>01</v>
      </c>
      <c r="CQ3" s="61" t="str">
        <f t="shared" si="2"/>
        <v>01</v>
      </c>
      <c r="CR3" s="61" t="str">
        <f t="shared" si="2"/>
        <v>01</v>
      </c>
      <c r="CS3" s="61" t="str">
        <f t="shared" si="2"/>
        <v>01</v>
      </c>
      <c r="CT3" s="61" t="str">
        <f t="shared" si="2"/>
        <v>01</v>
      </c>
      <c r="CU3" s="61" t="str">
        <f t="shared" si="2"/>
        <v>01</v>
      </c>
      <c r="CV3" s="61" t="str">
        <f t="shared" si="2"/>
        <v>01</v>
      </c>
      <c r="CW3" s="61" t="str">
        <f t="shared" ref="CW3:EB3" si="3">IF(COUNTA(CW4:CW65524)=0,"","01")</f>
        <v>01</v>
      </c>
      <c r="CX3" s="61" t="str">
        <f t="shared" si="3"/>
        <v>01</v>
      </c>
      <c r="CY3" s="61" t="str">
        <f t="shared" si="3"/>
        <v>01</v>
      </c>
      <c r="CZ3" s="61" t="str">
        <f t="shared" si="3"/>
        <v>01</v>
      </c>
      <c r="DA3" s="61" t="str">
        <f t="shared" si="3"/>
        <v>01</v>
      </c>
      <c r="DB3" s="61" t="str">
        <f t="shared" si="3"/>
        <v>01</v>
      </c>
      <c r="DC3" s="61" t="str">
        <f t="shared" si="3"/>
        <v>01</v>
      </c>
      <c r="DD3" s="61" t="str">
        <f t="shared" si="3"/>
        <v>01</v>
      </c>
      <c r="DE3" s="61" t="str">
        <f t="shared" si="3"/>
        <v>01</v>
      </c>
      <c r="DF3" s="61" t="str">
        <f t="shared" si="3"/>
        <v>01</v>
      </c>
      <c r="DG3" s="61" t="str">
        <f t="shared" si="3"/>
        <v>01</v>
      </c>
      <c r="DH3" s="61" t="str">
        <f t="shared" si="3"/>
        <v>01</v>
      </c>
      <c r="DI3" s="61" t="str">
        <f t="shared" si="3"/>
        <v>01</v>
      </c>
      <c r="DJ3" s="61" t="str">
        <f t="shared" si="3"/>
        <v>01</v>
      </c>
      <c r="DK3" s="61" t="str">
        <f t="shared" si="3"/>
        <v>01</v>
      </c>
      <c r="DL3" s="61" t="str">
        <f t="shared" si="3"/>
        <v>01</v>
      </c>
      <c r="DM3" s="61" t="str">
        <f t="shared" si="3"/>
        <v>01</v>
      </c>
      <c r="DN3" s="61" t="str">
        <f t="shared" si="3"/>
        <v>01</v>
      </c>
      <c r="DO3" s="61" t="str">
        <f t="shared" si="3"/>
        <v>01</v>
      </c>
      <c r="DP3" s="61" t="str">
        <f t="shared" si="3"/>
        <v>01</v>
      </c>
      <c r="DQ3" s="61" t="str">
        <f t="shared" si="3"/>
        <v>01</v>
      </c>
      <c r="DR3" s="61" t="str">
        <f t="shared" si="3"/>
        <v>01</v>
      </c>
      <c r="DS3" s="61" t="str">
        <f t="shared" si="3"/>
        <v>01</v>
      </c>
      <c r="DT3" s="61" t="str">
        <f t="shared" si="3"/>
        <v>01</v>
      </c>
      <c r="DU3" s="61" t="str">
        <f t="shared" si="3"/>
        <v>01</v>
      </c>
      <c r="DV3" s="61" t="str">
        <f t="shared" si="3"/>
        <v>01</v>
      </c>
      <c r="DW3" s="61" t="str">
        <f t="shared" si="3"/>
        <v>01</v>
      </c>
      <c r="DX3" s="61" t="str">
        <f t="shared" si="3"/>
        <v>01</v>
      </c>
      <c r="DY3" s="61" t="str">
        <f t="shared" si="3"/>
        <v>01</v>
      </c>
      <c r="DZ3" s="61" t="str">
        <f t="shared" si="3"/>
        <v>01</v>
      </c>
      <c r="EA3" s="61" t="str">
        <f t="shared" si="3"/>
        <v>01</v>
      </c>
      <c r="EB3" s="61" t="str">
        <f t="shared" si="3"/>
        <v>01</v>
      </c>
      <c r="EC3" s="61" t="str">
        <f t="shared" ref="EC3:FH3" si="4">IF(COUNTA(EC4:EC65524)=0,"","01")</f>
        <v>01</v>
      </c>
      <c r="ED3" s="61" t="str">
        <f t="shared" si="4"/>
        <v>01</v>
      </c>
      <c r="EE3" s="61" t="str">
        <f t="shared" si="4"/>
        <v>01</v>
      </c>
      <c r="EF3" s="61" t="str">
        <f t="shared" si="4"/>
        <v>01</v>
      </c>
      <c r="EG3" s="61" t="str">
        <f t="shared" si="4"/>
        <v>01</v>
      </c>
      <c r="EH3" s="61" t="str">
        <f t="shared" si="4"/>
        <v>01</v>
      </c>
      <c r="EI3" s="61" t="str">
        <f t="shared" si="4"/>
        <v>01</v>
      </c>
      <c r="EJ3" s="61" t="str">
        <f t="shared" si="4"/>
        <v>01</v>
      </c>
      <c r="EK3" s="61" t="str">
        <f t="shared" si="4"/>
        <v>01</v>
      </c>
      <c r="EL3" s="61" t="str">
        <f t="shared" si="4"/>
        <v>01</v>
      </c>
      <c r="EM3" s="61" t="str">
        <f t="shared" si="4"/>
        <v>01</v>
      </c>
      <c r="EN3" s="61" t="str">
        <f t="shared" si="4"/>
        <v>01</v>
      </c>
      <c r="EO3" s="61" t="str">
        <f t="shared" si="4"/>
        <v>01</v>
      </c>
      <c r="EP3" s="61" t="str">
        <f t="shared" si="4"/>
        <v>01</v>
      </c>
      <c r="EQ3" s="61" t="str">
        <f t="shared" si="4"/>
        <v>01</v>
      </c>
      <c r="ER3" s="61" t="str">
        <f t="shared" si="4"/>
        <v>01</v>
      </c>
      <c r="ES3" s="61" t="str">
        <f t="shared" si="4"/>
        <v>01</v>
      </c>
      <c r="ET3" s="61" t="str">
        <f t="shared" si="4"/>
        <v>01</v>
      </c>
      <c r="EU3" s="61" t="str">
        <f t="shared" si="4"/>
        <v>01</v>
      </c>
      <c r="EV3" s="61" t="str">
        <f t="shared" si="4"/>
        <v>01</v>
      </c>
      <c r="EW3" s="61" t="str">
        <f t="shared" si="4"/>
        <v>01</v>
      </c>
      <c r="EX3" s="61" t="str">
        <f t="shared" si="4"/>
        <v>01</v>
      </c>
      <c r="EY3" s="61" t="str">
        <f t="shared" si="4"/>
        <v>01</v>
      </c>
      <c r="EZ3" s="61" t="str">
        <f t="shared" si="4"/>
        <v>01</v>
      </c>
      <c r="FA3" s="61" t="str">
        <f t="shared" si="4"/>
        <v>01</v>
      </c>
      <c r="FB3" s="61" t="str">
        <f t="shared" si="4"/>
        <v>01</v>
      </c>
      <c r="FC3" s="61" t="str">
        <f t="shared" si="4"/>
        <v>01</v>
      </c>
      <c r="FD3" s="61" t="str">
        <f t="shared" si="4"/>
        <v>01</v>
      </c>
      <c r="FE3" s="61" t="str">
        <f t="shared" si="4"/>
        <v>01</v>
      </c>
      <c r="FF3" s="61" t="str">
        <f t="shared" si="4"/>
        <v>01</v>
      </c>
      <c r="FG3" s="61" t="str">
        <f t="shared" si="4"/>
        <v>01</v>
      </c>
      <c r="FH3" s="61" t="str">
        <f t="shared" si="4"/>
        <v>01</v>
      </c>
      <c r="FI3" s="61" t="str">
        <f t="shared" ref="FI3:GN3" si="5">IF(COUNTA(FI4:FI65524)=0,"","01")</f>
        <v>01</v>
      </c>
      <c r="FJ3" s="61" t="str">
        <f t="shared" si="5"/>
        <v>01</v>
      </c>
      <c r="FK3" s="61" t="str">
        <f t="shared" si="5"/>
        <v>01</v>
      </c>
      <c r="FL3" s="61" t="str">
        <f t="shared" si="5"/>
        <v>01</v>
      </c>
      <c r="FM3" s="61" t="str">
        <f t="shared" si="5"/>
        <v>01</v>
      </c>
      <c r="FN3" s="61" t="str">
        <f t="shared" si="5"/>
        <v>01</v>
      </c>
      <c r="FO3" s="61" t="str">
        <f t="shared" si="5"/>
        <v>01</v>
      </c>
      <c r="FP3" s="61" t="str">
        <f t="shared" si="5"/>
        <v>01</v>
      </c>
      <c r="FQ3" s="61" t="str">
        <f t="shared" si="5"/>
        <v>01</v>
      </c>
      <c r="FR3" s="61" t="str">
        <f t="shared" si="5"/>
        <v>01</v>
      </c>
      <c r="FS3" s="61" t="str">
        <f t="shared" si="5"/>
        <v>01</v>
      </c>
      <c r="FT3" s="61" t="str">
        <f t="shared" si="5"/>
        <v>01</v>
      </c>
      <c r="FU3" s="61" t="str">
        <f t="shared" si="5"/>
        <v>01</v>
      </c>
      <c r="FV3" s="61" t="str">
        <f t="shared" si="5"/>
        <v>01</v>
      </c>
      <c r="FW3" s="61" t="str">
        <f t="shared" si="5"/>
        <v>01</v>
      </c>
      <c r="FX3" s="61" t="str">
        <f t="shared" si="5"/>
        <v>01</v>
      </c>
      <c r="FY3" s="61" t="str">
        <f t="shared" si="5"/>
        <v>01</v>
      </c>
      <c r="FZ3" s="61" t="str">
        <f t="shared" si="5"/>
        <v>01</v>
      </c>
      <c r="GA3" s="61" t="str">
        <f t="shared" si="5"/>
        <v>01</v>
      </c>
      <c r="GB3" s="61" t="str">
        <f t="shared" si="5"/>
        <v>01</v>
      </c>
      <c r="GC3" s="61" t="str">
        <f t="shared" si="5"/>
        <v>01</v>
      </c>
      <c r="GD3" s="61" t="str">
        <f t="shared" si="5"/>
        <v>01</v>
      </c>
      <c r="GE3" s="61" t="str">
        <f t="shared" si="5"/>
        <v>01</v>
      </c>
      <c r="GF3" s="61" t="str">
        <f t="shared" si="5"/>
        <v>01</v>
      </c>
      <c r="GG3" s="61" t="str">
        <f t="shared" si="5"/>
        <v>01</v>
      </c>
      <c r="GH3" s="61" t="str">
        <f t="shared" si="5"/>
        <v>01</v>
      </c>
      <c r="GI3" s="61" t="str">
        <f t="shared" si="5"/>
        <v>01</v>
      </c>
      <c r="GJ3" s="61" t="str">
        <f t="shared" si="5"/>
        <v>01</v>
      </c>
      <c r="GK3" s="61" t="str">
        <f t="shared" si="5"/>
        <v>01</v>
      </c>
      <c r="GL3" s="61" t="str">
        <f t="shared" si="5"/>
        <v>01</v>
      </c>
      <c r="GM3" s="61" t="str">
        <f t="shared" si="5"/>
        <v>01</v>
      </c>
      <c r="GN3" s="61" t="str">
        <f t="shared" si="5"/>
        <v>01</v>
      </c>
      <c r="GO3" s="61" t="str">
        <f t="shared" ref="GO3:HT3" si="6">IF(COUNTA(GO4:GO65524)=0,"","01")</f>
        <v>01</v>
      </c>
      <c r="GP3" s="61" t="str">
        <f t="shared" si="6"/>
        <v>01</v>
      </c>
      <c r="GQ3" s="61" t="str">
        <f t="shared" si="6"/>
        <v>01</v>
      </c>
      <c r="GR3" s="61" t="str">
        <f t="shared" si="6"/>
        <v>01</v>
      </c>
      <c r="GS3" s="61" t="str">
        <f t="shared" si="6"/>
        <v>01</v>
      </c>
      <c r="GT3" s="61" t="str">
        <f t="shared" si="6"/>
        <v>01</v>
      </c>
      <c r="GU3" s="61" t="str">
        <f t="shared" si="6"/>
        <v>01</v>
      </c>
      <c r="GV3" s="61" t="str">
        <f t="shared" si="6"/>
        <v>01</v>
      </c>
      <c r="GW3" s="61" t="str">
        <f t="shared" si="6"/>
        <v>01</v>
      </c>
      <c r="GX3" s="61" t="str">
        <f t="shared" si="6"/>
        <v>01</v>
      </c>
      <c r="GY3" s="61" t="str">
        <f t="shared" si="6"/>
        <v>01</v>
      </c>
      <c r="GZ3" s="61" t="str">
        <f t="shared" si="6"/>
        <v>01</v>
      </c>
      <c r="HA3" s="61" t="str">
        <f t="shared" si="6"/>
        <v>01</v>
      </c>
      <c r="HB3" s="61" t="str">
        <f t="shared" si="6"/>
        <v>01</v>
      </c>
      <c r="HC3" s="61" t="str">
        <f t="shared" si="6"/>
        <v>01</v>
      </c>
      <c r="HD3" s="61" t="str">
        <f t="shared" si="6"/>
        <v>01</v>
      </c>
      <c r="HE3" s="61" t="str">
        <f t="shared" si="6"/>
        <v>01</v>
      </c>
      <c r="HF3" s="61" t="str">
        <f t="shared" si="6"/>
        <v>01</v>
      </c>
      <c r="HG3" s="61" t="str">
        <f t="shared" si="6"/>
        <v>01</v>
      </c>
      <c r="HH3" s="61" t="str">
        <f t="shared" si="6"/>
        <v>01</v>
      </c>
      <c r="HI3" s="61" t="str">
        <f t="shared" si="6"/>
        <v>01</v>
      </c>
      <c r="HJ3" s="61" t="str">
        <f t="shared" si="6"/>
        <v>01</v>
      </c>
      <c r="HK3" s="61" t="str">
        <f t="shared" si="6"/>
        <v>01</v>
      </c>
      <c r="HL3" s="61" t="str">
        <f t="shared" si="6"/>
        <v>01</v>
      </c>
      <c r="HM3" s="61" t="str">
        <f t="shared" si="6"/>
        <v>01</v>
      </c>
      <c r="HN3" s="61" t="str">
        <f t="shared" si="6"/>
        <v>01</v>
      </c>
      <c r="HO3" s="61" t="str">
        <f t="shared" si="6"/>
        <v>01</v>
      </c>
      <c r="HP3" s="61" t="str">
        <f t="shared" si="6"/>
        <v>01</v>
      </c>
      <c r="HQ3" s="61" t="str">
        <f t="shared" si="6"/>
        <v>01</v>
      </c>
      <c r="HR3" s="61" t="str">
        <f t="shared" si="6"/>
        <v>01</v>
      </c>
      <c r="HS3" s="61" t="str">
        <f t="shared" si="6"/>
        <v>01</v>
      </c>
      <c r="HT3" s="61" t="str">
        <f t="shared" si="6"/>
        <v>01</v>
      </c>
      <c r="HU3" s="48"/>
    </row>
    <row r="4" spans="1:229" x14ac:dyDescent="0.2">
      <c r="A4" s="28" t="s">
        <v>6539</v>
      </c>
      <c r="B4" s="1" t="s">
        <v>6195</v>
      </c>
      <c r="D4" s="1" t="s">
        <v>6196</v>
      </c>
      <c r="E4" s="1" t="s">
        <v>11</v>
      </c>
      <c r="F4" s="1" t="s">
        <v>6197</v>
      </c>
      <c r="G4" s="1" t="s">
        <v>6198</v>
      </c>
      <c r="J4" s="1" t="s">
        <v>6199</v>
      </c>
      <c r="K4" s="1">
        <v>1989</v>
      </c>
      <c r="L4" s="1" t="s">
        <v>6200</v>
      </c>
      <c r="M4" s="1" t="s">
        <v>6201</v>
      </c>
      <c r="N4" s="1">
        <v>1.1000000000000001</v>
      </c>
      <c r="U4" s="54">
        <v>68</v>
      </c>
      <c r="AB4" s="54"/>
      <c r="AC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t="s">
        <v>6202</v>
      </c>
      <c r="BP4" s="54"/>
      <c r="BQ4" s="54">
        <v>0.1</v>
      </c>
      <c r="BR4" s="54"/>
      <c r="BS4" s="54">
        <v>141</v>
      </c>
      <c r="BT4" s="19">
        <v>0.13</v>
      </c>
      <c r="BU4" s="54">
        <v>49</v>
      </c>
      <c r="BV4" s="54">
        <v>3</v>
      </c>
      <c r="BW4" s="54">
        <v>106</v>
      </c>
      <c r="BX4" s="54"/>
      <c r="BY4" s="54">
        <v>0.8</v>
      </c>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row>
    <row r="5" spans="1:229" x14ac:dyDescent="0.2">
      <c r="A5" s="28" t="s">
        <v>6540</v>
      </c>
      <c r="B5" s="1" t="s">
        <v>6195</v>
      </c>
      <c r="D5" s="1" t="s">
        <v>6203</v>
      </c>
      <c r="E5" s="1" t="s">
        <v>11</v>
      </c>
      <c r="G5" s="1" t="s">
        <v>6198</v>
      </c>
      <c r="J5" s="1" t="s">
        <v>6199</v>
      </c>
      <c r="K5" s="1">
        <v>1989</v>
      </c>
      <c r="L5" s="1" t="s">
        <v>6200</v>
      </c>
      <c r="M5" s="1" t="s">
        <v>6201</v>
      </c>
      <c r="N5" s="1">
        <v>1.1000000000000001</v>
      </c>
      <c r="U5" s="54">
        <v>10</v>
      </c>
      <c r="AB5" s="54"/>
      <c r="AC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v>3</v>
      </c>
      <c r="BP5" s="54"/>
      <c r="BQ5" s="54">
        <v>0.1</v>
      </c>
      <c r="BR5" s="54"/>
      <c r="BS5" s="54">
        <v>99</v>
      </c>
      <c r="BT5" s="19">
        <v>0.14000000000000001</v>
      </c>
      <c r="BU5" s="54">
        <v>21</v>
      </c>
      <c r="BV5" s="54" t="s">
        <v>6202</v>
      </c>
      <c r="BW5" s="54">
        <v>102</v>
      </c>
      <c r="BX5" s="54"/>
      <c r="BY5" s="54">
        <v>0.8</v>
      </c>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row>
    <row r="6" spans="1:229" x14ac:dyDescent="0.2">
      <c r="A6" s="28" t="s">
        <v>6541</v>
      </c>
      <c r="B6" s="1" t="s">
        <v>6195</v>
      </c>
      <c r="D6" s="1" t="s">
        <v>6204</v>
      </c>
      <c r="E6" s="1" t="s">
        <v>11</v>
      </c>
      <c r="G6" s="1" t="s">
        <v>6198</v>
      </c>
      <c r="J6" s="1" t="s">
        <v>6199</v>
      </c>
      <c r="K6" s="1">
        <v>1989</v>
      </c>
      <c r="L6" s="1" t="s">
        <v>6200</v>
      </c>
      <c r="M6" s="1" t="s">
        <v>6201</v>
      </c>
      <c r="N6" s="1">
        <v>1.1000000000000001</v>
      </c>
      <c r="U6" s="54">
        <v>10</v>
      </c>
      <c r="AB6" s="54"/>
      <c r="AC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t="s">
        <v>6202</v>
      </c>
      <c r="BP6" s="54"/>
      <c r="BQ6" s="54">
        <v>0.2</v>
      </c>
      <c r="BR6" s="54"/>
      <c r="BS6" s="54">
        <v>378</v>
      </c>
      <c r="BT6" s="19">
        <v>0.32</v>
      </c>
      <c r="BU6" s="54">
        <v>152</v>
      </c>
      <c r="BV6" s="54" t="s">
        <v>6202</v>
      </c>
      <c r="BW6" s="54">
        <v>402</v>
      </c>
      <c r="BX6" s="54"/>
      <c r="BY6" s="54">
        <v>2.2000000000000002</v>
      </c>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row>
    <row r="7" spans="1:229" x14ac:dyDescent="0.2">
      <c r="A7" s="28" t="s">
        <v>6542</v>
      </c>
      <c r="B7" s="1" t="s">
        <v>6195</v>
      </c>
      <c r="D7" s="1" t="s">
        <v>6205</v>
      </c>
      <c r="E7" s="1" t="s">
        <v>7</v>
      </c>
      <c r="G7" s="1" t="s">
        <v>6198</v>
      </c>
      <c r="J7" s="1" t="s">
        <v>6199</v>
      </c>
      <c r="K7" s="1">
        <v>1989</v>
      </c>
      <c r="L7" s="1" t="s">
        <v>6200</v>
      </c>
      <c r="M7" s="1" t="s">
        <v>6201</v>
      </c>
      <c r="N7" s="1">
        <v>1.1000000000000001</v>
      </c>
      <c r="U7" s="54">
        <v>10</v>
      </c>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v>9</v>
      </c>
      <c r="BP7" s="54"/>
      <c r="BQ7" s="54">
        <v>0.3</v>
      </c>
      <c r="BR7" s="54"/>
      <c r="BS7" s="54">
        <v>531</v>
      </c>
      <c r="BT7" s="19">
        <v>0.61</v>
      </c>
      <c r="BU7" s="54">
        <v>186</v>
      </c>
      <c r="BV7" s="54">
        <v>18</v>
      </c>
      <c r="BW7" s="54">
        <v>508</v>
      </c>
      <c r="BX7" s="54"/>
      <c r="BY7" s="54">
        <v>3.7</v>
      </c>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row>
    <row r="8" spans="1:229" x14ac:dyDescent="0.2">
      <c r="A8" s="28" t="s">
        <v>6543</v>
      </c>
      <c r="B8" s="1" t="s">
        <v>6195</v>
      </c>
      <c r="D8" s="1" t="s">
        <v>6206</v>
      </c>
      <c r="E8" s="1" t="s">
        <v>11</v>
      </c>
      <c r="F8" s="1" t="s">
        <v>6207</v>
      </c>
      <c r="G8" s="1" t="s">
        <v>6198</v>
      </c>
      <c r="J8" s="1" t="s">
        <v>6199</v>
      </c>
      <c r="K8" s="1">
        <v>1989</v>
      </c>
      <c r="L8" s="1" t="s">
        <v>6200</v>
      </c>
      <c r="M8" s="1" t="s">
        <v>6201</v>
      </c>
      <c r="N8" s="1">
        <v>1.1000000000000001</v>
      </c>
      <c r="U8" s="54">
        <v>9</v>
      </c>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v>7</v>
      </c>
      <c r="BP8" s="54"/>
      <c r="BQ8" s="54"/>
      <c r="BR8" s="54"/>
      <c r="BS8" s="54"/>
      <c r="BT8" s="19">
        <v>0.78</v>
      </c>
      <c r="BU8" s="54"/>
      <c r="BV8" s="54"/>
      <c r="BW8" s="54">
        <v>224</v>
      </c>
      <c r="BX8" s="54"/>
      <c r="BY8" s="54">
        <v>1.2</v>
      </c>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row>
    <row r="9" spans="1:229" x14ac:dyDescent="0.2">
      <c r="A9" s="28" t="s">
        <v>6544</v>
      </c>
      <c r="B9" s="1" t="s">
        <v>6195</v>
      </c>
      <c r="D9" s="1" t="s">
        <v>6208</v>
      </c>
      <c r="E9" s="1" t="s">
        <v>7</v>
      </c>
      <c r="F9" s="1" t="s">
        <v>6209</v>
      </c>
      <c r="G9" s="1" t="s">
        <v>6198</v>
      </c>
      <c r="J9" s="1" t="s">
        <v>6199</v>
      </c>
      <c r="K9" s="1">
        <v>1989</v>
      </c>
      <c r="L9" s="1" t="s">
        <v>6200</v>
      </c>
      <c r="M9" s="1" t="s">
        <v>6201</v>
      </c>
      <c r="N9" s="1">
        <v>1.1000000000000001</v>
      </c>
      <c r="U9" s="54">
        <v>13</v>
      </c>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t="s">
        <v>6202</v>
      </c>
      <c r="BP9" s="54"/>
      <c r="BQ9" s="54">
        <v>0.6</v>
      </c>
      <c r="BR9" s="54"/>
      <c r="BS9" s="54">
        <v>183</v>
      </c>
      <c r="BT9" s="19">
        <v>0.72</v>
      </c>
      <c r="BU9" s="54">
        <v>169</v>
      </c>
      <c r="BV9" s="54" t="s">
        <v>6202</v>
      </c>
      <c r="BW9" s="54">
        <v>314</v>
      </c>
      <c r="BX9" s="54"/>
      <c r="BY9" s="54">
        <v>1.6</v>
      </c>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row>
    <row r="10" spans="1:229" s="12" customFormat="1" x14ac:dyDescent="0.2">
      <c r="A10" s="28" t="s">
        <v>6545</v>
      </c>
      <c r="B10" s="12" t="s">
        <v>6267</v>
      </c>
      <c r="D10" s="12" t="s">
        <v>6268</v>
      </c>
      <c r="E10" s="12" t="s">
        <v>11</v>
      </c>
      <c r="F10" s="12" t="s">
        <v>6197</v>
      </c>
      <c r="G10" s="12" t="s">
        <v>6198</v>
      </c>
      <c r="J10" s="12" t="s">
        <v>6199</v>
      </c>
      <c r="K10" s="12">
        <v>1989</v>
      </c>
      <c r="L10" s="12" t="s">
        <v>6200</v>
      </c>
      <c r="M10" s="12" t="s">
        <v>6201</v>
      </c>
      <c r="N10" s="1">
        <v>1.1000000000000001</v>
      </c>
      <c r="U10" s="14">
        <v>0</v>
      </c>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v>0.27</v>
      </c>
      <c r="BR10" s="14"/>
      <c r="BS10" s="14"/>
      <c r="BT10" s="12">
        <v>0.47</v>
      </c>
      <c r="BU10" s="57"/>
      <c r="BV10" s="14"/>
      <c r="BW10" s="14"/>
      <c r="BX10" s="14"/>
      <c r="BY10" s="14">
        <v>2.62</v>
      </c>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row>
    <row r="11" spans="1:229" s="70" customFormat="1" x14ac:dyDescent="0.2">
      <c r="A11" s="28" t="s">
        <v>7467</v>
      </c>
      <c r="B11" s="70" t="s">
        <v>7670</v>
      </c>
      <c r="D11" s="70" t="s">
        <v>7271</v>
      </c>
      <c r="E11" s="70" t="s">
        <v>7</v>
      </c>
      <c r="F11" s="70" t="s">
        <v>7304</v>
      </c>
      <c r="G11" s="70">
        <v>2003</v>
      </c>
      <c r="I11" s="70">
        <v>5</v>
      </c>
      <c r="K11" s="70">
        <v>2005</v>
      </c>
      <c r="L11" s="70" t="s">
        <v>7310</v>
      </c>
      <c r="M11" s="70" t="s">
        <v>7309</v>
      </c>
      <c r="N11" s="70">
        <v>1.1000000000000001</v>
      </c>
      <c r="U11" s="70">
        <v>12.6</v>
      </c>
      <c r="W11" s="70">
        <v>5.7</v>
      </c>
      <c r="AB11" s="70">
        <v>6.85</v>
      </c>
      <c r="AF11" s="70">
        <v>2.65</v>
      </c>
      <c r="BM11" s="70">
        <v>1.21</v>
      </c>
      <c r="BO11" s="70">
        <v>6.85</v>
      </c>
      <c r="BQ11" s="70">
        <v>0.16</v>
      </c>
      <c r="BR11" s="70">
        <v>0.56999999999999995</v>
      </c>
      <c r="BS11" s="70">
        <v>181.71</v>
      </c>
      <c r="BT11" s="70">
        <v>0.36</v>
      </c>
      <c r="BU11" s="70">
        <v>16.88</v>
      </c>
      <c r="BV11" s="70">
        <v>0.54</v>
      </c>
      <c r="BW11" s="70">
        <v>61.27</v>
      </c>
      <c r="BX11" s="70">
        <v>0.04</v>
      </c>
      <c r="BY11" s="70">
        <v>1.98</v>
      </c>
    </row>
    <row r="12" spans="1:229" s="70" customFormat="1" x14ac:dyDescent="0.2">
      <c r="A12" s="28" t="s">
        <v>7468</v>
      </c>
      <c r="B12" s="70" t="s">
        <v>7670</v>
      </c>
      <c r="D12" s="70" t="s">
        <v>7283</v>
      </c>
      <c r="E12" s="70" t="s">
        <v>11</v>
      </c>
      <c r="F12" s="70" t="s">
        <v>7304</v>
      </c>
      <c r="G12" s="70">
        <v>2003</v>
      </c>
      <c r="H12" s="70" t="s">
        <v>7311</v>
      </c>
      <c r="I12" s="70">
        <v>5</v>
      </c>
      <c r="K12" s="70">
        <v>2005</v>
      </c>
      <c r="L12" s="70" t="s">
        <v>7310</v>
      </c>
      <c r="M12" s="70" t="s">
        <v>7309</v>
      </c>
      <c r="N12" s="70">
        <v>1.1000000000000001</v>
      </c>
      <c r="U12" s="70">
        <v>12.07</v>
      </c>
      <c r="W12" s="70">
        <v>5.7</v>
      </c>
      <c r="AB12" s="70">
        <v>6.76</v>
      </c>
      <c r="AF12" s="70">
        <v>2.69</v>
      </c>
      <c r="BM12" s="70">
        <v>1.18</v>
      </c>
      <c r="BO12" s="70">
        <v>6.23</v>
      </c>
      <c r="BQ12" s="70">
        <v>0.15</v>
      </c>
      <c r="BR12" s="70">
        <v>0.55000000000000004</v>
      </c>
      <c r="BS12" s="70">
        <v>152.88999999999999</v>
      </c>
      <c r="BT12" s="70">
        <v>0.42</v>
      </c>
      <c r="BU12" s="70">
        <v>15.98</v>
      </c>
      <c r="BV12" s="70">
        <v>0.44</v>
      </c>
      <c r="BW12" s="70">
        <v>56.42</v>
      </c>
      <c r="BX12" s="70">
        <v>0.04</v>
      </c>
      <c r="BY12" s="70">
        <v>1.9</v>
      </c>
    </row>
    <row r="13" spans="1:229" s="70" customFormat="1" x14ac:dyDescent="0.2">
      <c r="A13" s="28" t="s">
        <v>7469</v>
      </c>
      <c r="B13" s="70" t="s">
        <v>7670</v>
      </c>
      <c r="D13" s="70" t="s">
        <v>7684</v>
      </c>
      <c r="E13" s="70" t="s">
        <v>11</v>
      </c>
      <c r="F13" s="70" t="s">
        <v>7304</v>
      </c>
      <c r="G13" s="70">
        <v>2003</v>
      </c>
      <c r="H13" s="70" t="s">
        <v>7312</v>
      </c>
      <c r="I13" s="70">
        <v>5</v>
      </c>
      <c r="K13" s="70">
        <v>2005</v>
      </c>
      <c r="L13" s="70" t="s">
        <v>7310</v>
      </c>
      <c r="M13" s="70" t="s">
        <v>7309</v>
      </c>
      <c r="N13" s="70">
        <v>1.1000000000000001</v>
      </c>
      <c r="U13" s="70">
        <v>10.83</v>
      </c>
      <c r="W13" s="70">
        <v>5.7</v>
      </c>
      <c r="AB13" s="70">
        <v>6.36</v>
      </c>
      <c r="AF13" s="70">
        <v>0.38</v>
      </c>
      <c r="BM13" s="70">
        <v>0.55000000000000004</v>
      </c>
      <c r="BO13" s="70">
        <v>4.6100000000000003</v>
      </c>
      <c r="BQ13" s="70">
        <v>0.17</v>
      </c>
      <c r="BR13" s="70">
        <v>0.43</v>
      </c>
      <c r="BS13" s="70">
        <v>143.21</v>
      </c>
      <c r="BT13" s="70">
        <v>0.28000000000000003</v>
      </c>
      <c r="BU13" s="70">
        <v>15.43</v>
      </c>
      <c r="BV13" s="70">
        <v>0.59</v>
      </c>
      <c r="BW13" s="70">
        <v>58.85</v>
      </c>
      <c r="BX13" s="70">
        <v>0.03</v>
      </c>
      <c r="BY13" s="70">
        <v>1.1499999999999999</v>
      </c>
    </row>
    <row r="14" spans="1:229" s="70" customFormat="1" x14ac:dyDescent="0.2">
      <c r="A14" s="28" t="s">
        <v>7470</v>
      </c>
      <c r="B14" s="70" t="s">
        <v>7670</v>
      </c>
      <c r="D14" s="70" t="s">
        <v>7685</v>
      </c>
      <c r="E14" s="70" t="s">
        <v>7</v>
      </c>
      <c r="F14" s="70" t="s">
        <v>7304</v>
      </c>
      <c r="G14" s="70">
        <v>2003</v>
      </c>
      <c r="I14" s="70">
        <v>5</v>
      </c>
      <c r="K14" s="70">
        <v>2005</v>
      </c>
      <c r="L14" s="70" t="s">
        <v>7310</v>
      </c>
      <c r="M14" s="70" t="s">
        <v>7309</v>
      </c>
      <c r="N14" s="70">
        <v>1.1000000000000001</v>
      </c>
      <c r="U14" s="70">
        <v>11.1</v>
      </c>
      <c r="W14" s="70">
        <v>5.7</v>
      </c>
      <c r="AB14" s="70">
        <v>6.66</v>
      </c>
      <c r="AF14" s="70">
        <v>0.5</v>
      </c>
      <c r="BM14" s="70">
        <v>0.47</v>
      </c>
      <c r="BO14" s="70">
        <v>6.7</v>
      </c>
      <c r="BQ14" s="70">
        <v>0.18</v>
      </c>
      <c r="BR14" s="70">
        <v>0.4</v>
      </c>
      <c r="BS14" s="70">
        <v>65.459999999999994</v>
      </c>
      <c r="BT14" s="70">
        <v>0.45</v>
      </c>
      <c r="BU14" s="70">
        <v>15.06</v>
      </c>
      <c r="BV14" s="70">
        <v>0.53</v>
      </c>
      <c r="BW14" s="70">
        <v>41.98</v>
      </c>
      <c r="BX14" s="70">
        <v>0.03</v>
      </c>
      <c r="BY14" s="70">
        <v>2.09</v>
      </c>
    </row>
    <row r="15" spans="1:229" s="70" customFormat="1" x14ac:dyDescent="0.2">
      <c r="A15" s="28" t="s">
        <v>7471</v>
      </c>
      <c r="B15" s="70" t="s">
        <v>238</v>
      </c>
      <c r="D15" s="70" t="s">
        <v>7272</v>
      </c>
      <c r="E15" s="70" t="s">
        <v>7</v>
      </c>
      <c r="J15" s="70" t="s">
        <v>7313</v>
      </c>
      <c r="K15" s="70">
        <v>2012</v>
      </c>
      <c r="L15" s="70" t="s">
        <v>7314</v>
      </c>
      <c r="M15" s="70" t="s">
        <v>6201</v>
      </c>
      <c r="N15" s="70">
        <v>1.1000000000000001</v>
      </c>
      <c r="U15" s="70">
        <f>100-90.52</f>
        <v>9.480000000000004</v>
      </c>
      <c r="V15" s="70">
        <f>(100-U15)</f>
        <v>90.52</v>
      </c>
      <c r="AD15" s="70">
        <f>0.01*(V15*12.44)</f>
        <v>11.260688</v>
      </c>
      <c r="AG15" s="70">
        <f>0.01*(V15*11.58)</f>
        <v>10.482215999999999</v>
      </c>
      <c r="AM15" s="70">
        <f>0.01*(V15*57.73)</f>
        <v>52.257195999999993</v>
      </c>
      <c r="BI15" s="70">
        <f>0.01*(V15*14.4)</f>
        <v>13.034880000000001</v>
      </c>
      <c r="BJ15" s="70">
        <f>0.01*(V15*8.54)</f>
        <v>7.7304079999999988</v>
      </c>
      <c r="BK15" s="70">
        <f>0.01*(V15*3.78)</f>
        <v>3.421656</v>
      </c>
      <c r="BM15" s="70">
        <f>0.01*(V15*3.85)</f>
        <v>3.48502</v>
      </c>
      <c r="EW15" s="70">
        <f>0.01*(V15*5.71)</f>
        <v>5.1686920000000001</v>
      </c>
    </row>
    <row r="16" spans="1:229" s="70" customFormat="1" x14ac:dyDescent="0.2">
      <c r="A16" s="28" t="s">
        <v>7472</v>
      </c>
      <c r="B16" s="70" t="s">
        <v>7254</v>
      </c>
      <c r="D16" s="70" t="s">
        <v>7273</v>
      </c>
      <c r="E16" s="70" t="s">
        <v>7</v>
      </c>
      <c r="J16" s="70" t="s">
        <v>7315</v>
      </c>
      <c r="K16" s="70">
        <v>1992</v>
      </c>
      <c r="L16" s="70" t="s">
        <v>7316</v>
      </c>
      <c r="M16" s="70" t="s">
        <v>7309</v>
      </c>
      <c r="N16" s="70">
        <v>1.1000000000000001</v>
      </c>
      <c r="S16" s="70">
        <v>1583</v>
      </c>
      <c r="U16" s="70">
        <v>11.97</v>
      </c>
      <c r="W16" s="70">
        <v>6.25</v>
      </c>
      <c r="AD16" s="70">
        <v>8.2899999999999991</v>
      </c>
      <c r="AG16" s="70">
        <v>0.71</v>
      </c>
      <c r="AQ16" s="70">
        <v>76.3</v>
      </c>
      <c r="AW16" s="70">
        <v>1.05</v>
      </c>
      <c r="AZ16" s="70">
        <v>74.3</v>
      </c>
      <c r="BF16" s="70">
        <v>0.46</v>
      </c>
      <c r="BM16" s="70">
        <v>0.53</v>
      </c>
      <c r="BO16" s="70">
        <v>5</v>
      </c>
      <c r="BW16" s="70">
        <v>110</v>
      </c>
      <c r="GF16" s="70">
        <v>513.15099999999995</v>
      </c>
      <c r="GG16" s="70">
        <v>707.13699999999994</v>
      </c>
      <c r="GI16" s="70">
        <v>814.90699999999993</v>
      </c>
      <c r="GJ16" s="70">
        <v>532.21799999999996</v>
      </c>
      <c r="GL16" s="70">
        <v>1580.9029999999998</v>
      </c>
      <c r="GM16" s="70">
        <v>400.40699999999993</v>
      </c>
      <c r="GN16" s="70">
        <v>226.31699999999998</v>
      </c>
      <c r="GO16" s="70">
        <v>373.87899999999996</v>
      </c>
      <c r="GP16" s="70">
        <v>691.38599999999997</v>
      </c>
      <c r="GQ16" s="70">
        <v>324.13899999999995</v>
      </c>
      <c r="GR16" s="70">
        <v>244.55499999999998</v>
      </c>
      <c r="GS16" s="70">
        <v>465.89799999999997</v>
      </c>
      <c r="GT16" s="70">
        <v>388.80099999999993</v>
      </c>
      <c r="GU16" s="70">
        <v>438.54099999999994</v>
      </c>
      <c r="GV16" s="70">
        <v>314.19099999999997</v>
      </c>
      <c r="GX16" s="70">
        <v>410.35499999999996</v>
      </c>
      <c r="GY16" s="70">
        <v>532.21799999999996</v>
      </c>
    </row>
    <row r="17" spans="1:207" s="70" customFormat="1" x14ac:dyDescent="0.2">
      <c r="A17" s="28" t="s">
        <v>7473</v>
      </c>
      <c r="B17" s="70" t="s">
        <v>7254</v>
      </c>
      <c r="D17" s="70" t="s">
        <v>7274</v>
      </c>
      <c r="E17" s="70" t="s">
        <v>7</v>
      </c>
      <c r="J17" s="70" t="s">
        <v>7315</v>
      </c>
      <c r="K17" s="70">
        <v>1992</v>
      </c>
      <c r="L17" s="70" t="s">
        <v>7316</v>
      </c>
      <c r="M17" s="70" t="s">
        <v>7309</v>
      </c>
      <c r="N17" s="70">
        <v>1.1000000000000001</v>
      </c>
      <c r="S17" s="70">
        <v>1586</v>
      </c>
      <c r="U17" s="70">
        <v>11.09</v>
      </c>
      <c r="W17" s="70">
        <v>6.25</v>
      </c>
      <c r="AD17" s="70">
        <v>8.6999999999999993</v>
      </c>
      <c r="AG17" s="70">
        <v>0.37</v>
      </c>
      <c r="AQ17" s="70">
        <v>74.400000000000006</v>
      </c>
      <c r="AW17" s="70">
        <v>1.1599999999999999</v>
      </c>
      <c r="AZ17" s="70">
        <v>73.599999999999994</v>
      </c>
      <c r="BF17" s="70">
        <v>0.48</v>
      </c>
      <c r="BM17" s="70">
        <v>0.49</v>
      </c>
      <c r="BO17" s="70">
        <v>7</v>
      </c>
      <c r="BW17" s="70">
        <v>100</v>
      </c>
      <c r="GF17" s="70">
        <v>574.19999999999993</v>
      </c>
      <c r="GG17" s="70">
        <v>758.64</v>
      </c>
      <c r="GI17" s="70">
        <v>918.71999999999991</v>
      </c>
      <c r="GJ17" s="70">
        <v>574.19999999999993</v>
      </c>
      <c r="GL17" s="70">
        <v>1735.6499999999999</v>
      </c>
      <c r="GM17" s="70">
        <v>439.34999999999997</v>
      </c>
      <c r="GN17" s="70">
        <v>247.95</v>
      </c>
      <c r="GO17" s="70">
        <v>419.34</v>
      </c>
      <c r="GP17" s="70">
        <v>757.76999999999987</v>
      </c>
      <c r="GQ17" s="70">
        <v>307.97999999999996</v>
      </c>
      <c r="GR17" s="70">
        <v>249.68999999999997</v>
      </c>
      <c r="GS17" s="70">
        <v>521.13</v>
      </c>
      <c r="GT17" s="70">
        <v>420.20999999999992</v>
      </c>
      <c r="GU17" s="70">
        <v>464.57999999999993</v>
      </c>
      <c r="GV17" s="70">
        <v>335.82</v>
      </c>
      <c r="GX17" s="70">
        <v>453.27</v>
      </c>
      <c r="GY17" s="70">
        <v>574.19999999999993</v>
      </c>
    </row>
    <row r="18" spans="1:207" s="70" customFormat="1" x14ac:dyDescent="0.2">
      <c r="A18" s="28" t="s">
        <v>7474</v>
      </c>
      <c r="B18" s="70" t="s">
        <v>7255</v>
      </c>
      <c r="D18" s="70" t="s">
        <v>7686</v>
      </c>
      <c r="E18" s="70" t="s">
        <v>11</v>
      </c>
      <c r="H18" s="70" t="s">
        <v>7317</v>
      </c>
      <c r="J18" s="70" t="s">
        <v>7318</v>
      </c>
      <c r="K18" s="70">
        <v>2002</v>
      </c>
      <c r="L18" s="70" t="s">
        <v>7319</v>
      </c>
      <c r="M18" s="70" t="s">
        <v>7320</v>
      </c>
      <c r="N18" s="70">
        <v>1.1000000000000001</v>
      </c>
      <c r="U18" s="70">
        <v>68.599999999999994</v>
      </c>
      <c r="W18" s="70">
        <v>6.25</v>
      </c>
      <c r="AW18" s="70">
        <v>0.45</v>
      </c>
      <c r="BB18" s="70">
        <f>BG18+BH18</f>
        <v>3.33</v>
      </c>
      <c r="BG18" s="70">
        <v>0.44</v>
      </c>
      <c r="BH18" s="70">
        <v>2.89</v>
      </c>
      <c r="ER18" s="70">
        <v>0.45</v>
      </c>
    </row>
    <row r="19" spans="1:207" s="70" customFormat="1" x14ac:dyDescent="0.2">
      <c r="A19" s="28" t="s">
        <v>7475</v>
      </c>
      <c r="B19" s="70" t="s">
        <v>7255</v>
      </c>
      <c r="D19" s="70" t="s">
        <v>7687</v>
      </c>
      <c r="E19" s="70" t="s">
        <v>11</v>
      </c>
      <c r="H19" s="70" t="s">
        <v>7317</v>
      </c>
      <c r="J19" s="70" t="s">
        <v>7318</v>
      </c>
      <c r="K19" s="70">
        <v>2002</v>
      </c>
      <c r="L19" s="70" t="s">
        <v>7319</v>
      </c>
      <c r="M19" s="70" t="s">
        <v>7320</v>
      </c>
      <c r="N19" s="70">
        <v>1.1000000000000001</v>
      </c>
      <c r="U19" s="70">
        <v>68.099999999999994</v>
      </c>
      <c r="W19" s="70">
        <v>6.25</v>
      </c>
      <c r="AW19" s="70">
        <v>0.03</v>
      </c>
      <c r="BB19" s="70">
        <v>0.34</v>
      </c>
      <c r="BH19" s="70">
        <v>0.34</v>
      </c>
      <c r="ER19" s="70">
        <v>0.03</v>
      </c>
    </row>
    <row r="20" spans="1:207" s="70" customFormat="1" x14ac:dyDescent="0.2">
      <c r="A20" s="28" t="s">
        <v>7476</v>
      </c>
      <c r="B20" s="70" t="s">
        <v>1002</v>
      </c>
      <c r="D20" s="70" t="s">
        <v>7275</v>
      </c>
      <c r="E20" s="70" t="s">
        <v>11</v>
      </c>
      <c r="F20" s="70" t="s">
        <v>6209</v>
      </c>
      <c r="H20" s="70" t="s">
        <v>7321</v>
      </c>
      <c r="I20" s="70">
        <v>3</v>
      </c>
      <c r="J20" s="70" t="s">
        <v>7322</v>
      </c>
      <c r="K20" s="70">
        <v>2002</v>
      </c>
      <c r="L20" s="70" t="s">
        <v>7323</v>
      </c>
      <c r="M20" s="70" t="s">
        <v>7320</v>
      </c>
      <c r="N20" s="70">
        <v>1.1000000000000001</v>
      </c>
      <c r="U20" s="70">
        <v>89.48</v>
      </c>
      <c r="AD20" s="70">
        <v>3.19</v>
      </c>
      <c r="AF20" s="70">
        <v>0.43</v>
      </c>
      <c r="AO20" s="70">
        <v>5.84</v>
      </c>
      <c r="BM20" s="70">
        <v>1.06</v>
      </c>
    </row>
    <row r="21" spans="1:207" s="70" customFormat="1" x14ac:dyDescent="0.2">
      <c r="A21" s="28" t="s">
        <v>7477</v>
      </c>
      <c r="B21" s="70" t="s">
        <v>7256</v>
      </c>
      <c r="D21" s="70" t="s">
        <v>7276</v>
      </c>
      <c r="E21" s="70" t="s">
        <v>7</v>
      </c>
      <c r="F21" s="70" t="s">
        <v>6209</v>
      </c>
      <c r="J21" s="70" t="s">
        <v>7324</v>
      </c>
      <c r="K21" s="70">
        <v>2008</v>
      </c>
      <c r="L21" s="70" t="s">
        <v>7325</v>
      </c>
      <c r="M21" s="70" t="s">
        <v>7309</v>
      </c>
      <c r="N21" s="70">
        <v>1.1000000000000001</v>
      </c>
      <c r="V21" s="70">
        <v>86.9</v>
      </c>
      <c r="W21" s="70">
        <v>6.25</v>
      </c>
      <c r="AB21" s="70">
        <f>V21/100*7.33</f>
        <v>6.3697700000000008</v>
      </c>
      <c r="AF21" s="70">
        <f>V21/100*0.51</f>
        <v>0.44319000000000008</v>
      </c>
      <c r="BF21" s="70">
        <f>V21/100*0.51</f>
        <v>0.44319000000000008</v>
      </c>
      <c r="BM21" s="70">
        <f>V21/100*0.58</f>
        <v>0.50402000000000002</v>
      </c>
      <c r="BO21" s="70">
        <f>V21/100*10</f>
        <v>8.6900000000000013</v>
      </c>
      <c r="BQ21" s="70">
        <f>V21/100*3.86</f>
        <v>3.3543400000000001</v>
      </c>
      <c r="BR21" s="70">
        <f>V21/100*6.67</f>
        <v>5.7962300000000004</v>
      </c>
      <c r="BT21" s="70">
        <f>V21/100*4.32</f>
        <v>3.7540800000000005</v>
      </c>
      <c r="BU21" s="70">
        <f>V21/100*190</f>
        <v>165.11</v>
      </c>
      <c r="BY21" s="70">
        <f>V21/100*5.75</f>
        <v>4.9967500000000005</v>
      </c>
    </row>
    <row r="22" spans="1:207" s="70" customFormat="1" x14ac:dyDescent="0.2">
      <c r="A22" s="28" t="s">
        <v>7478</v>
      </c>
      <c r="B22" s="70" t="s">
        <v>7256</v>
      </c>
      <c r="D22" s="70" t="s">
        <v>7276</v>
      </c>
      <c r="E22" s="70" t="s">
        <v>7</v>
      </c>
      <c r="F22" s="70" t="s">
        <v>6209</v>
      </c>
      <c r="J22" s="70" t="s">
        <v>7324</v>
      </c>
      <c r="K22" s="70">
        <v>2008</v>
      </c>
      <c r="L22" s="70" t="s">
        <v>7325</v>
      </c>
      <c r="M22" s="70" t="s">
        <v>7309</v>
      </c>
      <c r="N22" s="70">
        <v>1.1000000000000001</v>
      </c>
      <c r="V22" s="70">
        <v>87.9</v>
      </c>
      <c r="W22" s="70">
        <v>6.25</v>
      </c>
      <c r="AB22" s="70">
        <f>V22/100*6.48</f>
        <v>5.6959200000000001</v>
      </c>
      <c r="AF22" s="70">
        <f>V22/100*0.34</f>
        <v>0.29886000000000001</v>
      </c>
      <c r="BF22" s="70">
        <f>V22/100*1.07</f>
        <v>0.94053000000000009</v>
      </c>
      <c r="BM22" s="70">
        <f>V22/100*0.43</f>
        <v>0.37796999999999997</v>
      </c>
      <c r="BO22" s="70">
        <f>V22/100*10</f>
        <v>8.7899999999999991</v>
      </c>
      <c r="BQ22" s="70">
        <f>V22/100*2.22</f>
        <v>1.9513800000000001</v>
      </c>
      <c r="BR22" s="70">
        <f>V22/100*2.79</f>
        <v>2.45241</v>
      </c>
      <c r="BT22" s="70">
        <f>V22/100*3.64</f>
        <v>3.19956</v>
      </c>
      <c r="BU22" s="70">
        <f>V22/100*150</f>
        <v>131.85</v>
      </c>
      <c r="BY22" s="70">
        <f>V22/100*6.21</f>
        <v>5.4585900000000001</v>
      </c>
    </row>
    <row r="23" spans="1:207" s="70" customFormat="1" x14ac:dyDescent="0.2">
      <c r="A23" s="28" t="s">
        <v>7479</v>
      </c>
      <c r="B23" s="70" t="s">
        <v>7256</v>
      </c>
      <c r="D23" s="70" t="s">
        <v>7276</v>
      </c>
      <c r="E23" s="70" t="s">
        <v>7</v>
      </c>
      <c r="F23" s="70" t="s">
        <v>6209</v>
      </c>
      <c r="J23" s="70" t="s">
        <v>7324</v>
      </c>
      <c r="K23" s="70">
        <v>2008</v>
      </c>
      <c r="L23" s="70" t="s">
        <v>7325</v>
      </c>
      <c r="M23" s="70" t="s">
        <v>7309</v>
      </c>
      <c r="N23" s="70">
        <v>1.1000000000000001</v>
      </c>
      <c r="V23" s="70">
        <v>86.2</v>
      </c>
      <c r="W23" s="70">
        <v>6.25</v>
      </c>
      <c r="AB23" s="70">
        <f>V23/100*7.46</f>
        <v>6.4305199999999996</v>
      </c>
      <c r="AF23" s="70">
        <f>V23/100*0.6</f>
        <v>0.51719999999999999</v>
      </c>
      <c r="BF23" s="70">
        <f>V23/100*0.58</f>
        <v>0.49995999999999996</v>
      </c>
      <c r="BM23" s="70">
        <f>V23/100*0.46</f>
        <v>0.39652000000000004</v>
      </c>
      <c r="BO23" s="70">
        <f>V23/100*10</f>
        <v>8.6199999999999992</v>
      </c>
      <c r="BQ23" s="70">
        <f>V23/100*1.62</f>
        <v>1.3964400000000001</v>
      </c>
      <c r="BR23" s="70">
        <f>V23/100*1.1</f>
        <v>0.94820000000000004</v>
      </c>
      <c r="BT23" s="70">
        <f>V23/100*3.31</f>
        <v>2.8532199999999999</v>
      </c>
      <c r="BU23" s="70">
        <f>V23/100*140</f>
        <v>120.67999999999999</v>
      </c>
      <c r="BY23" s="70">
        <f>V23/100*5.22</f>
        <v>4.4996399999999994</v>
      </c>
    </row>
    <row r="24" spans="1:207" s="70" customFormat="1" x14ac:dyDescent="0.2">
      <c r="A24" s="28" t="s">
        <v>7480</v>
      </c>
      <c r="B24" s="70" t="s">
        <v>7256</v>
      </c>
      <c r="D24" s="70" t="s">
        <v>7276</v>
      </c>
      <c r="E24" s="70" t="s">
        <v>7</v>
      </c>
      <c r="F24" s="70" t="s">
        <v>6209</v>
      </c>
      <c r="J24" s="70" t="s">
        <v>7324</v>
      </c>
      <c r="K24" s="70">
        <v>2008</v>
      </c>
      <c r="L24" s="70" t="s">
        <v>7325</v>
      </c>
      <c r="M24" s="70" t="s">
        <v>7309</v>
      </c>
      <c r="N24" s="70">
        <v>1.1000000000000001</v>
      </c>
      <c r="V24" s="70">
        <v>87.7</v>
      </c>
      <c r="W24" s="70">
        <v>6.25</v>
      </c>
      <c r="AB24" s="70">
        <f>V24/100*8.69</f>
        <v>7.62113</v>
      </c>
      <c r="AF24" s="70">
        <f>V24/100*0.78</f>
        <v>0.68406</v>
      </c>
      <c r="BF24" s="70">
        <f>V24/100*0.68</f>
        <v>0.59636</v>
      </c>
      <c r="BM24" s="70">
        <f>V24/100*0.78</f>
        <v>0.68406</v>
      </c>
      <c r="BO24" s="70">
        <f>V24/100*6</f>
        <v>5.2620000000000005</v>
      </c>
      <c r="BQ24" s="70">
        <f>V24/100*1.82</f>
        <v>1.5961400000000001</v>
      </c>
      <c r="BR24" s="70">
        <f>V24/100*20.5</f>
        <v>17.9785</v>
      </c>
      <c r="BT24" s="70">
        <f>V24/100*5.93</f>
        <v>5.2006100000000002</v>
      </c>
      <c r="BU24" s="70">
        <f>V24/100*270</f>
        <v>236.79</v>
      </c>
      <c r="BY24" s="70">
        <f>V24/100*5.53</f>
        <v>4.8498100000000006</v>
      </c>
    </row>
    <row r="25" spans="1:207" s="70" customFormat="1" x14ac:dyDescent="0.2">
      <c r="A25" s="28" t="s">
        <v>7481</v>
      </c>
      <c r="B25" s="70" t="s">
        <v>7256</v>
      </c>
      <c r="D25" s="70" t="s">
        <v>7272</v>
      </c>
      <c r="E25" s="70" t="s">
        <v>7</v>
      </c>
      <c r="F25" s="70" t="s">
        <v>6209</v>
      </c>
      <c r="J25" s="70" t="s">
        <v>7324</v>
      </c>
      <c r="K25" s="70">
        <v>2008</v>
      </c>
      <c r="L25" s="70" t="s">
        <v>7325</v>
      </c>
      <c r="M25" s="70" t="s">
        <v>7309</v>
      </c>
      <c r="N25" s="70">
        <v>1.1000000000000001</v>
      </c>
      <c r="V25" s="70">
        <v>89.5</v>
      </c>
      <c r="W25" s="70">
        <v>6.25</v>
      </c>
      <c r="AB25" s="70">
        <f>V25/100*14.7</f>
        <v>13.156499999999999</v>
      </c>
      <c r="AF25" s="70">
        <f>V25/100*18.5</f>
        <v>16.557500000000001</v>
      </c>
      <c r="BF25" s="70">
        <f>V25/100*7.37</f>
        <v>6.5961500000000006</v>
      </c>
      <c r="BM25" s="70">
        <f>V25/100*9.04</f>
        <v>8.0907999999999998</v>
      </c>
      <c r="BO25" s="70">
        <f>V25/100*84</f>
        <v>75.180000000000007</v>
      </c>
      <c r="BQ25" s="70">
        <f>V25/100*2.12</f>
        <v>1.8974000000000002</v>
      </c>
      <c r="BR25" s="70">
        <f>V25/100*38.4</f>
        <v>34.368000000000002</v>
      </c>
      <c r="BT25" s="70">
        <f>V25/100*54.2</f>
        <v>48.509</v>
      </c>
      <c r="BU25" s="70">
        <f>V25/100*4830</f>
        <v>4322.8500000000004</v>
      </c>
      <c r="BY25" s="70">
        <f>V25/100*20.3</f>
        <v>18.168500000000002</v>
      </c>
    </row>
    <row r="26" spans="1:207" s="70" customFormat="1" x14ac:dyDescent="0.2">
      <c r="A26" s="28" t="s">
        <v>7482</v>
      </c>
      <c r="B26" s="70" t="s">
        <v>7256</v>
      </c>
      <c r="D26" s="70" t="s">
        <v>7272</v>
      </c>
      <c r="E26" s="70" t="s">
        <v>7</v>
      </c>
      <c r="F26" s="70" t="s">
        <v>6209</v>
      </c>
      <c r="J26" s="70" t="s">
        <v>7324</v>
      </c>
      <c r="K26" s="70">
        <v>2008</v>
      </c>
      <c r="L26" s="70" t="s">
        <v>7325</v>
      </c>
      <c r="M26" s="70" t="s">
        <v>7309</v>
      </c>
      <c r="N26" s="70">
        <v>1.1000000000000001</v>
      </c>
      <c r="V26" s="70">
        <v>89.6</v>
      </c>
      <c r="W26" s="70">
        <v>6.25</v>
      </c>
      <c r="AB26" s="70">
        <f>V26/100*15.6</f>
        <v>13.977599999999999</v>
      </c>
      <c r="AF26" s="70">
        <f>V26/100*13.2</f>
        <v>11.827199999999998</v>
      </c>
      <c r="BF26" s="70">
        <f>V26/100*7.14</f>
        <v>6.3974399999999987</v>
      </c>
      <c r="BM26" s="70">
        <f>V26/100*6.86</f>
        <v>6.14656</v>
      </c>
      <c r="BO26" s="70">
        <f>V26/100*6</f>
        <v>5.3759999999999994</v>
      </c>
      <c r="BQ26" s="70">
        <f>V26/100*4.24</f>
        <v>3.7990399999999998</v>
      </c>
      <c r="BR26" s="70">
        <f>V26/100*37.3</f>
        <v>33.420799999999993</v>
      </c>
      <c r="BT26" s="70">
        <f>V26/100*79.2</f>
        <v>70.963200000000001</v>
      </c>
      <c r="BU26" s="70">
        <f>V26/100*3690</f>
        <v>3306.24</v>
      </c>
      <c r="BY26" s="70">
        <f>V26/100*18.9</f>
        <v>16.934399999999997</v>
      </c>
    </row>
    <row r="27" spans="1:207" s="70" customFormat="1" x14ac:dyDescent="0.2">
      <c r="A27" s="28" t="s">
        <v>7483</v>
      </c>
      <c r="B27" s="70" t="s">
        <v>7256</v>
      </c>
      <c r="D27" s="70" t="s">
        <v>7272</v>
      </c>
      <c r="E27" s="70" t="s">
        <v>7</v>
      </c>
      <c r="F27" s="70" t="s">
        <v>6209</v>
      </c>
      <c r="J27" s="70" t="s">
        <v>7324</v>
      </c>
      <c r="K27" s="70">
        <v>2008</v>
      </c>
      <c r="L27" s="70" t="s">
        <v>7325</v>
      </c>
      <c r="M27" s="70" t="s">
        <v>7309</v>
      </c>
      <c r="N27" s="70">
        <v>1.1000000000000001</v>
      </c>
      <c r="V27" s="70">
        <v>88.4</v>
      </c>
      <c r="W27" s="70">
        <v>6.25</v>
      </c>
      <c r="AB27" s="70">
        <f>V27/100*14.3</f>
        <v>12.641200000000001</v>
      </c>
      <c r="AF27" s="70">
        <f>V27/100*15.6</f>
        <v>13.7904</v>
      </c>
      <c r="BF27" s="70">
        <f>V27/100*6.11</f>
        <v>5.4012400000000005</v>
      </c>
      <c r="BM27" s="70">
        <f>V27/100*8.71</f>
        <v>7.6996400000000005</v>
      </c>
      <c r="BO27" s="70">
        <f>V27/100*110</f>
        <v>97.24</v>
      </c>
      <c r="BQ27" s="70">
        <f>V27/100*5.03</f>
        <v>4.4465200000000005</v>
      </c>
      <c r="BR27" s="70">
        <f>V27/100*39.8</f>
        <v>35.183199999999999</v>
      </c>
      <c r="BT27" s="70">
        <f>V27/100*58.3</f>
        <v>51.537199999999999</v>
      </c>
      <c r="BU27" s="70">
        <f>V27/100*4070</f>
        <v>3597.88</v>
      </c>
      <c r="BY27" s="70">
        <f>V27/100*16</f>
        <v>14.144</v>
      </c>
    </row>
    <row r="28" spans="1:207" s="70" customFormat="1" x14ac:dyDescent="0.2">
      <c r="A28" s="28" t="s">
        <v>7484</v>
      </c>
      <c r="B28" s="70" t="s">
        <v>7256</v>
      </c>
      <c r="D28" s="70" t="s">
        <v>7272</v>
      </c>
      <c r="E28" s="70" t="s">
        <v>7</v>
      </c>
      <c r="F28" s="70" t="s">
        <v>6209</v>
      </c>
      <c r="J28" s="70" t="s">
        <v>7324</v>
      </c>
      <c r="K28" s="70">
        <v>2008</v>
      </c>
      <c r="L28" s="70" t="s">
        <v>7325</v>
      </c>
      <c r="M28" s="70" t="s">
        <v>7309</v>
      </c>
      <c r="N28" s="70">
        <v>1.1000000000000001</v>
      </c>
      <c r="V28" s="70">
        <v>89.6</v>
      </c>
      <c r="W28" s="70">
        <v>6.25</v>
      </c>
      <c r="AB28" s="70">
        <f>V28/100*16</f>
        <v>14.335999999999999</v>
      </c>
      <c r="AF28" s="70">
        <f>V28/100*14.5</f>
        <v>12.991999999999999</v>
      </c>
      <c r="BF28" s="70">
        <f>V28/100*7.48</f>
        <v>6.7020799999999996</v>
      </c>
      <c r="BM28" s="70">
        <f>V28/100*8.48</f>
        <v>7.5980799999999995</v>
      </c>
      <c r="BO28" s="70">
        <f>V28/100*130</f>
        <v>116.47999999999999</v>
      </c>
      <c r="BQ28" s="70">
        <f>V28/100*1.73</f>
        <v>1.5500799999999999</v>
      </c>
      <c r="BR28" s="70">
        <f>V28/100*44.4</f>
        <v>39.782399999999996</v>
      </c>
      <c r="BT28" s="70">
        <f>V28/100*63</f>
        <v>56.447999999999993</v>
      </c>
      <c r="BU28" s="70">
        <f>V28/100*3840</f>
        <v>3440.6399999999994</v>
      </c>
      <c r="BY28" s="70">
        <f>V28/100*19.6</f>
        <v>17.561599999999999</v>
      </c>
    </row>
    <row r="29" spans="1:207" s="70" customFormat="1" x14ac:dyDescent="0.2">
      <c r="A29" s="28" t="s">
        <v>7485</v>
      </c>
      <c r="B29" s="70" t="s">
        <v>238</v>
      </c>
      <c r="D29" s="70" t="s">
        <v>7277</v>
      </c>
      <c r="E29" s="70" t="s">
        <v>11</v>
      </c>
      <c r="H29" s="70" t="s">
        <v>7326</v>
      </c>
      <c r="I29" s="70">
        <v>2</v>
      </c>
      <c r="J29" s="70" t="s">
        <v>7327</v>
      </c>
      <c r="K29" s="70">
        <v>2006</v>
      </c>
      <c r="L29" s="70" t="s">
        <v>7328</v>
      </c>
      <c r="M29" s="70" t="s">
        <v>7320</v>
      </c>
      <c r="N29" s="70">
        <v>1.1000000000000001</v>
      </c>
      <c r="R29" s="70">
        <v>213</v>
      </c>
      <c r="U29" s="70">
        <v>49.75</v>
      </c>
      <c r="W29" s="70">
        <v>6.25</v>
      </c>
      <c r="AB29" s="70">
        <v>3.66</v>
      </c>
      <c r="AG29" s="70">
        <v>4.62</v>
      </c>
      <c r="AM29" s="70">
        <v>39.200000000000003</v>
      </c>
      <c r="BF29" s="70">
        <v>1.24</v>
      </c>
      <c r="BM29" s="70">
        <v>1.53</v>
      </c>
    </row>
    <row r="30" spans="1:207" s="70" customFormat="1" x14ac:dyDescent="0.2">
      <c r="A30" s="28" t="s">
        <v>7486</v>
      </c>
      <c r="B30" s="70" t="s">
        <v>238</v>
      </c>
      <c r="D30" s="70" t="s">
        <v>7277</v>
      </c>
      <c r="E30" s="70" t="s">
        <v>11</v>
      </c>
      <c r="H30" s="70" t="s">
        <v>7329</v>
      </c>
      <c r="I30" s="70">
        <v>2</v>
      </c>
      <c r="J30" s="70" t="s">
        <v>7327</v>
      </c>
      <c r="K30" s="70">
        <v>2006</v>
      </c>
      <c r="L30" s="70" t="s">
        <v>7328</v>
      </c>
      <c r="M30" s="70" t="s">
        <v>7320</v>
      </c>
      <c r="N30" s="70">
        <v>1.1000000000000001</v>
      </c>
      <c r="R30" s="70">
        <v>168</v>
      </c>
      <c r="U30" s="70">
        <v>60.98</v>
      </c>
      <c r="W30" s="70">
        <v>6.25</v>
      </c>
      <c r="AB30" s="70">
        <v>3.17</v>
      </c>
      <c r="AG30" s="70">
        <v>3.99</v>
      </c>
      <c r="AM30" s="70">
        <v>29.87</v>
      </c>
      <c r="BF30" s="70">
        <v>1.21</v>
      </c>
      <c r="BM30" s="70">
        <v>0.78</v>
      </c>
    </row>
    <row r="31" spans="1:207" s="70" customFormat="1" x14ac:dyDescent="0.2">
      <c r="A31" s="28" t="s">
        <v>7487</v>
      </c>
      <c r="B31" s="70" t="s">
        <v>238</v>
      </c>
      <c r="D31" s="70" t="s">
        <v>7277</v>
      </c>
      <c r="E31" s="70" t="s">
        <v>11</v>
      </c>
      <c r="H31" s="70" t="s">
        <v>7330</v>
      </c>
      <c r="I31" s="70">
        <v>2</v>
      </c>
      <c r="J31" s="70" t="s">
        <v>7327</v>
      </c>
      <c r="K31" s="70">
        <v>2006</v>
      </c>
      <c r="L31" s="70" t="s">
        <v>7328</v>
      </c>
      <c r="M31" s="70" t="s">
        <v>7320</v>
      </c>
      <c r="N31" s="70">
        <v>1.1000000000000001</v>
      </c>
      <c r="R31" s="70">
        <v>161</v>
      </c>
      <c r="U31" s="70">
        <v>59.02</v>
      </c>
      <c r="W31" s="70">
        <v>6.25</v>
      </c>
      <c r="AB31" s="70">
        <v>3.5</v>
      </c>
      <c r="AG31" s="70">
        <v>1.2</v>
      </c>
      <c r="AM31" s="70">
        <v>33.99</v>
      </c>
      <c r="BF31" s="70">
        <v>1.42</v>
      </c>
      <c r="BM31" s="70">
        <v>0.87</v>
      </c>
    </row>
    <row r="32" spans="1:207" s="70" customFormat="1" x14ac:dyDescent="0.2">
      <c r="A32" s="28" t="s">
        <v>7488</v>
      </c>
      <c r="B32" s="70" t="s">
        <v>7257</v>
      </c>
      <c r="D32" s="70" t="s">
        <v>7272</v>
      </c>
      <c r="E32" s="70" t="s">
        <v>7</v>
      </c>
      <c r="I32" s="70">
        <v>3</v>
      </c>
      <c r="J32" s="70" t="s">
        <v>7331</v>
      </c>
      <c r="K32" s="70">
        <v>2010</v>
      </c>
      <c r="L32" s="70" t="s">
        <v>7332</v>
      </c>
      <c r="M32" s="70" t="s">
        <v>7320</v>
      </c>
      <c r="N32" s="70">
        <v>1.1000000000000001</v>
      </c>
      <c r="R32" s="70">
        <f>V32/100*356.3</f>
        <v>330.21884000000006</v>
      </c>
      <c r="V32" s="70">
        <v>92.68</v>
      </c>
      <c r="W32" s="70">
        <v>6.25</v>
      </c>
      <c r="AD32" s="70">
        <f>V32/100*9.55</f>
        <v>8.8509400000000014</v>
      </c>
      <c r="BF32" s="70">
        <v>21.826139999999999</v>
      </c>
    </row>
    <row r="33" spans="1:92" s="70" customFormat="1" x14ac:dyDescent="0.2">
      <c r="A33" s="28" t="s">
        <v>7489</v>
      </c>
      <c r="B33" s="70" t="s">
        <v>7257</v>
      </c>
      <c r="D33" s="70" t="s">
        <v>7688</v>
      </c>
      <c r="E33" s="70" t="s">
        <v>11</v>
      </c>
      <c r="H33" s="70" t="s">
        <v>7671</v>
      </c>
      <c r="I33" s="70">
        <v>3</v>
      </c>
      <c r="J33" s="70" t="s">
        <v>7333</v>
      </c>
      <c r="K33" s="70">
        <v>2010</v>
      </c>
      <c r="L33" s="70" t="s">
        <v>7332</v>
      </c>
      <c r="M33" s="70" t="s">
        <v>6201</v>
      </c>
      <c r="N33" s="70">
        <v>1.1000000000000001</v>
      </c>
      <c r="V33" s="70">
        <v>62.45</v>
      </c>
      <c r="W33" s="70">
        <v>6.25</v>
      </c>
      <c r="AD33" s="70">
        <f>V33/100*10.57</f>
        <v>6.6009650000000004</v>
      </c>
    </row>
    <row r="34" spans="1:92" s="70" customFormat="1" x14ac:dyDescent="0.2">
      <c r="A34" s="28" t="s">
        <v>7490</v>
      </c>
      <c r="B34" s="70" t="s">
        <v>7257</v>
      </c>
      <c r="D34" s="70" t="s">
        <v>7689</v>
      </c>
      <c r="E34" s="70" t="s">
        <v>11</v>
      </c>
      <c r="H34" s="70" t="s">
        <v>7334</v>
      </c>
      <c r="I34" s="70">
        <v>3</v>
      </c>
      <c r="J34" s="70" t="s">
        <v>7335</v>
      </c>
      <c r="K34" s="70">
        <v>2010</v>
      </c>
      <c r="L34" s="70" t="s">
        <v>7332</v>
      </c>
      <c r="M34" s="70" t="s">
        <v>6201</v>
      </c>
      <c r="N34" s="70">
        <v>1.1000000000000001</v>
      </c>
      <c r="V34" s="70">
        <v>65.959999999999994</v>
      </c>
      <c r="W34" s="70">
        <v>6.25</v>
      </c>
      <c r="AD34" s="70">
        <f>V34/100*10.15</f>
        <v>6.6949399999999999</v>
      </c>
    </row>
    <row r="35" spans="1:92" s="70" customFormat="1" x14ac:dyDescent="0.2">
      <c r="A35" s="28" t="s">
        <v>7491</v>
      </c>
      <c r="B35" s="70" t="s">
        <v>7257</v>
      </c>
      <c r="D35" s="70" t="s">
        <v>7689</v>
      </c>
      <c r="E35" s="70" t="s">
        <v>11</v>
      </c>
      <c r="H35" s="70" t="s">
        <v>7336</v>
      </c>
      <c r="I35" s="70">
        <v>3</v>
      </c>
      <c r="J35" s="70" t="s">
        <v>7333</v>
      </c>
      <c r="K35" s="70">
        <v>2010</v>
      </c>
      <c r="L35" s="70" t="s">
        <v>7332</v>
      </c>
      <c r="M35" s="70" t="s">
        <v>6201</v>
      </c>
      <c r="N35" s="70">
        <v>1.1000000000000001</v>
      </c>
      <c r="V35" s="70">
        <v>71.349999999999994</v>
      </c>
      <c r="W35" s="70">
        <v>6.25</v>
      </c>
      <c r="AD35" s="70">
        <f>V35/100*10.12</f>
        <v>7.2206199999999985</v>
      </c>
    </row>
    <row r="36" spans="1:92" s="70" customFormat="1" x14ac:dyDescent="0.2">
      <c r="A36" s="28" t="s">
        <v>7492</v>
      </c>
      <c r="B36" s="70" t="s">
        <v>7257</v>
      </c>
      <c r="D36" s="70" t="s">
        <v>7689</v>
      </c>
      <c r="E36" s="70" t="s">
        <v>11</v>
      </c>
      <c r="H36" s="70" t="s">
        <v>7337</v>
      </c>
      <c r="I36" s="70">
        <v>3</v>
      </c>
      <c r="J36" s="70" t="s">
        <v>7333</v>
      </c>
      <c r="K36" s="70">
        <v>2010</v>
      </c>
      <c r="L36" s="70" t="s">
        <v>7332</v>
      </c>
      <c r="M36" s="70" t="s">
        <v>6201</v>
      </c>
      <c r="N36" s="70">
        <v>1.1000000000000001</v>
      </c>
      <c r="V36" s="70">
        <v>69.7</v>
      </c>
      <c r="W36" s="70">
        <v>6.25</v>
      </c>
      <c r="AD36" s="70">
        <f>V36/100*10.6</f>
        <v>7.3882000000000003</v>
      </c>
    </row>
    <row r="37" spans="1:92" s="70" customFormat="1" x14ac:dyDescent="0.2">
      <c r="A37" s="28" t="s">
        <v>7493</v>
      </c>
      <c r="B37" s="70" t="s">
        <v>7258</v>
      </c>
      <c r="D37" s="70" t="s">
        <v>7690</v>
      </c>
      <c r="E37" s="70" t="s">
        <v>7</v>
      </c>
      <c r="F37" s="70" t="s">
        <v>6209</v>
      </c>
      <c r="H37" s="70" t="s">
        <v>7338</v>
      </c>
      <c r="I37" s="70">
        <v>6</v>
      </c>
      <c r="J37" s="70" t="s">
        <v>7339</v>
      </c>
      <c r="K37" s="70">
        <v>2010</v>
      </c>
      <c r="L37" s="70" t="s">
        <v>7340</v>
      </c>
      <c r="M37" s="70" t="s">
        <v>7309</v>
      </c>
      <c r="N37" s="70">
        <v>1.1000000000000001</v>
      </c>
      <c r="U37" s="70">
        <v>11.62</v>
      </c>
      <c r="BN37" s="70">
        <v>90</v>
      </c>
      <c r="BS37" s="70">
        <v>61.8</v>
      </c>
      <c r="BT37" s="70">
        <v>0.73</v>
      </c>
      <c r="BU37" s="70">
        <v>4.05</v>
      </c>
      <c r="BY37" s="70">
        <v>2.1800000000000002</v>
      </c>
      <c r="BZ37" s="70">
        <v>1020</v>
      </c>
      <c r="CD37" s="70">
        <v>0.34</v>
      </c>
    </row>
    <row r="38" spans="1:92" s="70" customFormat="1" x14ac:dyDescent="0.2">
      <c r="A38" s="28" t="s">
        <v>7494</v>
      </c>
      <c r="B38" s="70" t="s">
        <v>7258</v>
      </c>
      <c r="D38" s="70" t="s">
        <v>7691</v>
      </c>
      <c r="E38" s="70" t="s">
        <v>7</v>
      </c>
      <c r="F38" s="70" t="s">
        <v>6209</v>
      </c>
      <c r="H38" s="70" t="s">
        <v>7341</v>
      </c>
      <c r="I38" s="70">
        <v>6</v>
      </c>
      <c r="J38" s="70" t="s">
        <v>7342</v>
      </c>
      <c r="K38" s="70">
        <v>2010</v>
      </c>
      <c r="L38" s="70" t="s">
        <v>7340</v>
      </c>
      <c r="M38" s="70" t="s">
        <v>7309</v>
      </c>
      <c r="N38" s="70">
        <v>1.1000000000000001</v>
      </c>
      <c r="U38" s="70">
        <v>11.35</v>
      </c>
      <c r="BN38" s="70">
        <v>50</v>
      </c>
      <c r="BS38" s="70">
        <v>217.6</v>
      </c>
      <c r="BT38" s="70">
        <v>2.13</v>
      </c>
      <c r="BU38" s="70">
        <v>79.16</v>
      </c>
      <c r="BY38" s="70">
        <v>2.73</v>
      </c>
      <c r="BZ38" s="70">
        <v>1690</v>
      </c>
      <c r="CD38" s="70">
        <v>0.36</v>
      </c>
    </row>
    <row r="39" spans="1:92" s="70" customFormat="1" x14ac:dyDescent="0.2">
      <c r="A39" s="28" t="s">
        <v>7495</v>
      </c>
      <c r="B39" s="70" t="s">
        <v>7258</v>
      </c>
      <c r="D39" s="70" t="s">
        <v>7672</v>
      </c>
      <c r="E39" s="70" t="s">
        <v>7</v>
      </c>
      <c r="F39" s="70" t="s">
        <v>7305</v>
      </c>
      <c r="H39" s="70" t="s">
        <v>7343</v>
      </c>
      <c r="I39" s="70">
        <v>6</v>
      </c>
      <c r="J39" s="70" t="s">
        <v>7342</v>
      </c>
      <c r="K39" s="70">
        <v>2010</v>
      </c>
      <c r="L39" s="70" t="s">
        <v>7340</v>
      </c>
      <c r="M39" s="70" t="s">
        <v>7309</v>
      </c>
      <c r="N39" s="70">
        <v>1.1000000000000001</v>
      </c>
      <c r="U39" s="70">
        <v>12.06</v>
      </c>
      <c r="BN39" s="70">
        <v>40</v>
      </c>
      <c r="BS39" s="70">
        <v>64.400000000000006</v>
      </c>
      <c r="BT39" s="70">
        <v>0.81</v>
      </c>
      <c r="BU39" s="70">
        <v>4.2</v>
      </c>
      <c r="BY39" s="70">
        <v>2.68</v>
      </c>
      <c r="BZ39" s="70">
        <v>1220</v>
      </c>
      <c r="CD39" s="70">
        <v>0.26</v>
      </c>
    </row>
    <row r="40" spans="1:92" s="70" customFormat="1" x14ac:dyDescent="0.2">
      <c r="A40" s="28" t="s">
        <v>7496</v>
      </c>
      <c r="B40" s="70" t="s">
        <v>7258</v>
      </c>
      <c r="D40" s="70" t="s">
        <v>7692</v>
      </c>
      <c r="E40" s="70" t="s">
        <v>7</v>
      </c>
      <c r="F40" s="70" t="s">
        <v>6209</v>
      </c>
      <c r="H40" s="70" t="s">
        <v>7344</v>
      </c>
      <c r="I40" s="70">
        <v>6</v>
      </c>
      <c r="J40" s="70" t="s">
        <v>7342</v>
      </c>
      <c r="K40" s="70">
        <v>2010</v>
      </c>
      <c r="L40" s="70" t="s">
        <v>7340</v>
      </c>
      <c r="M40" s="70" t="s">
        <v>7309</v>
      </c>
      <c r="N40" s="70">
        <v>1.1000000000000001</v>
      </c>
      <c r="U40" s="70">
        <v>11.21</v>
      </c>
      <c r="BN40" s="70">
        <v>60</v>
      </c>
      <c r="BS40" s="70">
        <v>269.81</v>
      </c>
      <c r="BT40" s="70">
        <v>2.46</v>
      </c>
      <c r="BU40" s="70">
        <v>72.09</v>
      </c>
      <c r="BY40" s="70">
        <v>2.66</v>
      </c>
      <c r="BZ40" s="70">
        <v>1990</v>
      </c>
      <c r="CD40" s="70">
        <v>0.26</v>
      </c>
    </row>
    <row r="41" spans="1:92" s="70" customFormat="1" x14ac:dyDescent="0.2">
      <c r="A41" s="28" t="s">
        <v>7497</v>
      </c>
      <c r="B41" s="70" t="s">
        <v>7259</v>
      </c>
      <c r="D41" s="70" t="s">
        <v>7278</v>
      </c>
      <c r="E41" s="70" t="s">
        <v>7</v>
      </c>
      <c r="F41" s="70" t="s">
        <v>6209</v>
      </c>
      <c r="I41" s="70">
        <v>3</v>
      </c>
      <c r="J41" s="70" t="s">
        <v>7345</v>
      </c>
      <c r="K41" s="70">
        <v>1997</v>
      </c>
      <c r="L41" s="70" t="s">
        <v>7346</v>
      </c>
      <c r="M41" s="70" t="s">
        <v>7309</v>
      </c>
      <c r="N41" s="70">
        <v>1.1000000000000001</v>
      </c>
      <c r="T41" s="70">
        <v>390</v>
      </c>
      <c r="U41" s="70">
        <v>12.4</v>
      </c>
      <c r="V41" s="70">
        <f>100-U41</f>
        <v>87.6</v>
      </c>
      <c r="AD41" s="70">
        <v>5.6</v>
      </c>
      <c r="AG41" s="70">
        <v>0.4</v>
      </c>
      <c r="AQ41" s="70">
        <v>80.099999999999994</v>
      </c>
      <c r="BF41" s="70">
        <v>0.6</v>
      </c>
      <c r="BM41" s="70">
        <v>0.3</v>
      </c>
      <c r="BO41" s="73">
        <v>1.0511999999999999</v>
      </c>
      <c r="BP41" s="73"/>
      <c r="BQ41" s="73">
        <v>3.5039999999999995E-2</v>
      </c>
      <c r="BR41" s="73">
        <v>0.35039999999999999</v>
      </c>
      <c r="BS41" s="73">
        <v>3.7229999999999994</v>
      </c>
      <c r="BT41" s="73"/>
      <c r="BU41" s="73">
        <v>4.2923999999999998</v>
      </c>
      <c r="BV41" s="73">
        <v>0.30659999999999993</v>
      </c>
      <c r="BW41" s="73">
        <v>4.2047999999999996</v>
      </c>
      <c r="BY41" s="73">
        <v>8.7599999999999997E-2</v>
      </c>
    </row>
    <row r="42" spans="1:92" s="70" customFormat="1" x14ac:dyDescent="0.2">
      <c r="A42" s="28" t="s">
        <v>7498</v>
      </c>
      <c r="B42" s="70" t="s">
        <v>7259</v>
      </c>
      <c r="D42" s="70" t="s">
        <v>7279</v>
      </c>
      <c r="E42" s="70" t="s">
        <v>11</v>
      </c>
      <c r="F42" s="70" t="s">
        <v>6209</v>
      </c>
      <c r="H42" s="70" t="s">
        <v>7347</v>
      </c>
      <c r="I42" s="70">
        <v>3</v>
      </c>
      <c r="J42" s="70" t="s">
        <v>7345</v>
      </c>
      <c r="K42" s="70">
        <v>1997</v>
      </c>
      <c r="L42" s="70" t="s">
        <v>7346</v>
      </c>
      <c r="M42" s="70" t="s">
        <v>7309</v>
      </c>
      <c r="N42" s="70">
        <v>1.1000000000000001</v>
      </c>
      <c r="T42" s="70">
        <v>430</v>
      </c>
      <c r="U42" s="70">
        <v>7.3</v>
      </c>
      <c r="V42" s="70">
        <f>100-U42</f>
        <v>92.7</v>
      </c>
      <c r="AD42" s="70">
        <v>5.7</v>
      </c>
      <c r="AG42" s="70">
        <v>0.4</v>
      </c>
      <c r="AQ42" s="70">
        <v>81.900000000000006</v>
      </c>
      <c r="BF42" s="70">
        <v>1</v>
      </c>
      <c r="BM42" s="70">
        <v>1.1000000000000001</v>
      </c>
      <c r="BO42" s="73">
        <v>1.1124000000000001</v>
      </c>
      <c r="BP42" s="73"/>
      <c r="BQ42" s="73">
        <v>4.6350000000000002E-2</v>
      </c>
      <c r="BR42" s="73">
        <v>0.33372000000000002</v>
      </c>
      <c r="BS42" s="73">
        <v>19.420650000000002</v>
      </c>
      <c r="BT42" s="73"/>
      <c r="BU42" s="73">
        <v>13.9977</v>
      </c>
      <c r="BV42" s="73">
        <v>0.36153000000000002</v>
      </c>
      <c r="BW42" s="73">
        <v>11.81925</v>
      </c>
      <c r="BY42" s="73">
        <v>0.28737000000000001</v>
      </c>
    </row>
    <row r="43" spans="1:92" s="70" customFormat="1" x14ac:dyDescent="0.2">
      <c r="A43" s="28" t="s">
        <v>7499</v>
      </c>
      <c r="B43" s="70" t="s">
        <v>564</v>
      </c>
      <c r="D43" s="70" t="s">
        <v>7673</v>
      </c>
      <c r="E43" s="70" t="s">
        <v>7</v>
      </c>
      <c r="I43" s="70">
        <v>4</v>
      </c>
      <c r="J43" s="70" t="s">
        <v>7348</v>
      </c>
      <c r="K43" s="70">
        <v>2011</v>
      </c>
      <c r="L43" s="70" t="s">
        <v>7349</v>
      </c>
      <c r="M43" s="70" t="s">
        <v>7320</v>
      </c>
      <c r="N43" s="70">
        <v>1.1000000000000001</v>
      </c>
      <c r="U43" s="70">
        <v>13.3</v>
      </c>
      <c r="AD43" s="70">
        <v>16.600000000000001</v>
      </c>
      <c r="AG43" s="70">
        <v>0.33</v>
      </c>
      <c r="BB43" s="70">
        <v>7.41</v>
      </c>
      <c r="BG43" s="70">
        <v>5.17</v>
      </c>
      <c r="BH43" s="70">
        <v>2.2400000000000002</v>
      </c>
      <c r="BM43" s="70">
        <v>15.6</v>
      </c>
      <c r="BO43" s="70">
        <v>24</v>
      </c>
      <c r="BR43" s="70">
        <v>28.5</v>
      </c>
      <c r="BW43" s="70">
        <v>16</v>
      </c>
    </row>
    <row r="44" spans="1:92" s="70" customFormat="1" x14ac:dyDescent="0.2">
      <c r="A44" s="28" t="s">
        <v>7500</v>
      </c>
      <c r="B44" s="70" t="s">
        <v>564</v>
      </c>
      <c r="D44" s="70" t="s">
        <v>7674</v>
      </c>
      <c r="E44" s="70" t="s">
        <v>7</v>
      </c>
      <c r="I44" s="70">
        <v>4</v>
      </c>
      <c r="J44" s="70" t="s">
        <v>7348</v>
      </c>
      <c r="K44" s="70">
        <v>2011</v>
      </c>
      <c r="L44" s="70" t="s">
        <v>7349</v>
      </c>
      <c r="M44" s="70" t="s">
        <v>7320</v>
      </c>
      <c r="N44" s="70">
        <v>1.1000000000000001</v>
      </c>
      <c r="U44" s="70">
        <v>11.1</v>
      </c>
      <c r="AD44" s="70">
        <v>17.2</v>
      </c>
      <c r="AG44" s="70">
        <v>0.66</v>
      </c>
      <c r="BB44" s="70">
        <v>11.44</v>
      </c>
      <c r="BG44" s="70">
        <v>9.19</v>
      </c>
      <c r="BH44" s="70">
        <v>2.2400000000000002</v>
      </c>
      <c r="BM44" s="70">
        <v>14.65</v>
      </c>
      <c r="BO44" s="70">
        <v>25.5</v>
      </c>
      <c r="BR44" s="70">
        <v>29</v>
      </c>
      <c r="BW44" s="70">
        <v>16.600000000000001</v>
      </c>
    </row>
    <row r="45" spans="1:92" s="70" customFormat="1" x14ac:dyDescent="0.2">
      <c r="A45" s="28" t="s">
        <v>7501</v>
      </c>
      <c r="B45" s="70" t="s">
        <v>238</v>
      </c>
      <c r="D45" s="70" t="s">
        <v>7280</v>
      </c>
      <c r="E45" s="70" t="s">
        <v>7</v>
      </c>
      <c r="F45" s="70" t="s">
        <v>6209</v>
      </c>
      <c r="I45" s="70">
        <v>17</v>
      </c>
      <c r="J45" s="70" t="s">
        <v>7350</v>
      </c>
      <c r="K45" s="70">
        <v>2010</v>
      </c>
      <c r="L45" s="70" t="s">
        <v>7351</v>
      </c>
      <c r="M45" s="70" t="s">
        <v>7309</v>
      </c>
      <c r="N45" s="70">
        <v>1.1000000000000001</v>
      </c>
      <c r="BP45" s="70">
        <v>2.93</v>
      </c>
      <c r="BQ45" s="70">
        <v>0.24</v>
      </c>
      <c r="BT45" s="70">
        <v>1.21</v>
      </c>
      <c r="BU45" s="70">
        <v>46.23</v>
      </c>
      <c r="BW45" s="70">
        <v>214.08</v>
      </c>
      <c r="BX45" s="70">
        <v>3.21</v>
      </c>
      <c r="BY45" s="70">
        <v>1.53</v>
      </c>
      <c r="CA45" s="70">
        <v>10.53</v>
      </c>
      <c r="CC45" s="70">
        <v>1.3</v>
      </c>
      <c r="CM45" s="70">
        <v>0.03</v>
      </c>
      <c r="CN45" s="70">
        <v>0.21</v>
      </c>
    </row>
    <row r="46" spans="1:92" s="70" customFormat="1" x14ac:dyDescent="0.2">
      <c r="A46" s="28" t="s">
        <v>7502</v>
      </c>
      <c r="B46" s="70" t="s">
        <v>238</v>
      </c>
      <c r="D46" s="70" t="s">
        <v>7281</v>
      </c>
      <c r="E46" s="70" t="s">
        <v>11</v>
      </c>
      <c r="F46" s="70" t="s">
        <v>6209</v>
      </c>
      <c r="I46" s="70">
        <v>6</v>
      </c>
      <c r="J46" s="70" t="s">
        <v>7350</v>
      </c>
      <c r="K46" s="70">
        <v>2010</v>
      </c>
      <c r="L46" s="70" t="s">
        <v>7351</v>
      </c>
      <c r="M46" s="70" t="s">
        <v>7309</v>
      </c>
      <c r="N46" s="70">
        <v>1.1000000000000001</v>
      </c>
      <c r="BP46" s="70">
        <v>3.34</v>
      </c>
      <c r="BQ46" s="70">
        <v>0.37</v>
      </c>
      <c r="BT46" s="70">
        <v>1.82</v>
      </c>
      <c r="BU46" s="70">
        <v>113.2</v>
      </c>
      <c r="BW46" s="70">
        <v>407.85</v>
      </c>
      <c r="BX46" s="70">
        <v>4.49</v>
      </c>
      <c r="BY46" s="70">
        <v>1.78</v>
      </c>
      <c r="CA46" s="70">
        <v>9.84</v>
      </c>
      <c r="CC46" s="70">
        <v>1.1100000000000001</v>
      </c>
      <c r="CM46" s="70">
        <v>0.05</v>
      </c>
      <c r="CN46" s="70">
        <v>0.6</v>
      </c>
    </row>
    <row r="47" spans="1:92" s="70" customFormat="1" x14ac:dyDescent="0.2">
      <c r="A47" s="28" t="s">
        <v>7503</v>
      </c>
      <c r="B47" s="70" t="s">
        <v>238</v>
      </c>
      <c r="D47" s="70" t="s">
        <v>7282</v>
      </c>
      <c r="E47" s="70" t="s">
        <v>11</v>
      </c>
      <c r="F47" s="70" t="s">
        <v>6209</v>
      </c>
      <c r="I47" s="70">
        <v>4</v>
      </c>
      <c r="J47" s="70" t="s">
        <v>7350</v>
      </c>
      <c r="K47" s="70">
        <v>2010</v>
      </c>
      <c r="L47" s="70" t="s">
        <v>7351</v>
      </c>
      <c r="M47" s="70" t="s">
        <v>7309</v>
      </c>
      <c r="N47" s="70">
        <v>1.1000000000000001</v>
      </c>
      <c r="BP47" s="70">
        <v>6.91</v>
      </c>
      <c r="BQ47" s="70">
        <v>0.42</v>
      </c>
      <c r="BT47" s="70">
        <v>9.1</v>
      </c>
      <c r="BU47" s="70">
        <v>489</v>
      </c>
      <c r="BW47" s="70">
        <v>1561.88</v>
      </c>
      <c r="BX47" s="70">
        <v>4.21</v>
      </c>
      <c r="BY47" s="70">
        <v>4.42</v>
      </c>
      <c r="CA47" s="70">
        <v>15.4</v>
      </c>
      <c r="CC47" s="70">
        <v>1.75</v>
      </c>
      <c r="CM47" s="70">
        <v>0.05</v>
      </c>
      <c r="CN47" s="70">
        <v>0.54</v>
      </c>
    </row>
    <row r="48" spans="1:92" s="70" customFormat="1" x14ac:dyDescent="0.2">
      <c r="A48" s="28" t="s">
        <v>7504</v>
      </c>
      <c r="D48" s="70" t="s">
        <v>7271</v>
      </c>
      <c r="E48" s="70" t="s">
        <v>7</v>
      </c>
      <c r="F48" s="70" t="s">
        <v>7306</v>
      </c>
      <c r="J48" s="70" t="s">
        <v>7352</v>
      </c>
      <c r="K48" s="70">
        <v>2008</v>
      </c>
      <c r="L48" s="70" t="s">
        <v>7353</v>
      </c>
      <c r="M48" s="70" t="s">
        <v>7309</v>
      </c>
      <c r="N48" s="70">
        <v>1.1000000000000001</v>
      </c>
      <c r="BQ48" s="70">
        <v>0.21</v>
      </c>
      <c r="BR48" s="70">
        <v>0.9</v>
      </c>
      <c r="BT48" s="70">
        <v>4.5</v>
      </c>
      <c r="BX48" s="70">
        <v>20</v>
      </c>
      <c r="BY48" s="70">
        <v>2.1</v>
      </c>
      <c r="CE48" s="70">
        <v>0.6</v>
      </c>
      <c r="CK48" s="70">
        <v>0.46</v>
      </c>
    </row>
    <row r="49" spans="1:89" s="70" customFormat="1" x14ac:dyDescent="0.2">
      <c r="A49" s="28" t="s">
        <v>7505</v>
      </c>
      <c r="D49" s="70" t="s">
        <v>7283</v>
      </c>
      <c r="E49" s="70" t="s">
        <v>11</v>
      </c>
      <c r="F49" s="70" t="s">
        <v>7306</v>
      </c>
      <c r="J49" s="70" t="s">
        <v>7352</v>
      </c>
      <c r="K49" s="70">
        <v>2008</v>
      </c>
      <c r="L49" s="70" t="s">
        <v>7353</v>
      </c>
      <c r="M49" s="70" t="s">
        <v>7309</v>
      </c>
      <c r="N49" s="70">
        <v>1.1000000000000001</v>
      </c>
      <c r="BQ49" s="70">
        <v>0.25</v>
      </c>
      <c r="BR49" s="70">
        <v>1.4</v>
      </c>
      <c r="BT49" s="70">
        <v>4.2</v>
      </c>
      <c r="BX49" s="70">
        <v>30</v>
      </c>
      <c r="BY49" s="70">
        <v>2.1</v>
      </c>
      <c r="CE49" s="70">
        <v>2.4</v>
      </c>
      <c r="CK49" s="70">
        <v>0.88</v>
      </c>
    </row>
    <row r="50" spans="1:89" s="70" customFormat="1" x14ac:dyDescent="0.2">
      <c r="A50" s="28" t="s">
        <v>7506</v>
      </c>
      <c r="B50" s="70" t="s">
        <v>1030</v>
      </c>
      <c r="D50" s="70" t="s">
        <v>7283</v>
      </c>
      <c r="E50" s="70" t="s">
        <v>11</v>
      </c>
      <c r="F50" s="70" t="s">
        <v>7306</v>
      </c>
      <c r="J50" s="70" t="s">
        <v>7352</v>
      </c>
      <c r="K50" s="70">
        <v>2008</v>
      </c>
      <c r="L50" s="70" t="s">
        <v>7353</v>
      </c>
      <c r="M50" s="70" t="s">
        <v>7309</v>
      </c>
      <c r="N50" s="70">
        <v>1.1000000000000001</v>
      </c>
      <c r="BQ50" s="70">
        <v>0.2</v>
      </c>
      <c r="BR50" s="70">
        <v>0.87</v>
      </c>
      <c r="BT50" s="70">
        <v>4</v>
      </c>
      <c r="BX50" s="70">
        <v>20</v>
      </c>
      <c r="BY50" s="70">
        <v>1.8</v>
      </c>
      <c r="CE50" s="70">
        <v>0.6</v>
      </c>
      <c r="CK50" s="70">
        <v>0.5</v>
      </c>
    </row>
    <row r="51" spans="1:89" s="70" customFormat="1" x14ac:dyDescent="0.2">
      <c r="A51" s="28" t="s">
        <v>7507</v>
      </c>
      <c r="B51" s="70" t="s">
        <v>7260</v>
      </c>
      <c r="D51" s="70" t="s">
        <v>7693</v>
      </c>
      <c r="E51" s="70" t="s">
        <v>7</v>
      </c>
      <c r="F51" s="70" t="s">
        <v>7306</v>
      </c>
      <c r="H51" s="70" t="s">
        <v>7675</v>
      </c>
      <c r="J51" s="70" t="s">
        <v>7352</v>
      </c>
      <c r="K51" s="70">
        <v>2008</v>
      </c>
      <c r="L51" s="70" t="s">
        <v>7353</v>
      </c>
      <c r="M51" s="70" t="s">
        <v>7309</v>
      </c>
      <c r="N51" s="70">
        <v>1.1000000000000001</v>
      </c>
      <c r="BQ51" s="70">
        <v>7.6999999999999999E-2</v>
      </c>
      <c r="BR51" s="70">
        <v>0.19</v>
      </c>
      <c r="BT51" s="70">
        <v>1.2</v>
      </c>
      <c r="BY51" s="70">
        <v>1.5</v>
      </c>
      <c r="CE51" s="70" t="s">
        <v>7391</v>
      </c>
    </row>
    <row r="52" spans="1:89" s="70" customFormat="1" x14ac:dyDescent="0.2">
      <c r="A52" s="28" t="s">
        <v>7508</v>
      </c>
      <c r="B52" s="70" t="s">
        <v>7261</v>
      </c>
      <c r="D52" s="70" t="s">
        <v>7694</v>
      </c>
      <c r="E52" s="70" t="s">
        <v>7</v>
      </c>
      <c r="F52" s="70" t="s">
        <v>7306</v>
      </c>
      <c r="H52" s="70" t="s">
        <v>7675</v>
      </c>
      <c r="J52" s="70" t="s">
        <v>7352</v>
      </c>
      <c r="K52" s="70">
        <v>2008</v>
      </c>
      <c r="L52" s="70" t="s">
        <v>7353</v>
      </c>
      <c r="M52" s="70" t="s">
        <v>7309</v>
      </c>
      <c r="N52" s="70">
        <v>1.1000000000000001</v>
      </c>
      <c r="BQ52" s="70">
        <v>0.21</v>
      </c>
      <c r="BR52" s="70">
        <v>0.38</v>
      </c>
      <c r="BT52" s="70">
        <v>0.9</v>
      </c>
      <c r="BX52" s="70">
        <v>20</v>
      </c>
      <c r="BY52" s="70">
        <v>1.7</v>
      </c>
      <c r="CE52" s="70">
        <v>1.6</v>
      </c>
      <c r="CK52" s="70">
        <v>0.22</v>
      </c>
    </row>
    <row r="53" spans="1:89" s="70" customFormat="1" x14ac:dyDescent="0.2">
      <c r="A53" s="28" t="s">
        <v>7509</v>
      </c>
      <c r="B53" s="70" t="s">
        <v>7260</v>
      </c>
      <c r="D53" s="70" t="s">
        <v>7695</v>
      </c>
      <c r="E53" s="70" t="s">
        <v>7</v>
      </c>
      <c r="F53" s="70" t="s">
        <v>7306</v>
      </c>
      <c r="H53" s="70" t="s">
        <v>7675</v>
      </c>
      <c r="J53" s="70" t="s">
        <v>7352</v>
      </c>
      <c r="K53" s="70">
        <v>2008</v>
      </c>
      <c r="L53" s="70" t="s">
        <v>7353</v>
      </c>
      <c r="M53" s="70" t="s">
        <v>7309</v>
      </c>
      <c r="N53" s="70">
        <v>1.1000000000000001</v>
      </c>
      <c r="BQ53" s="70">
        <v>0.12</v>
      </c>
      <c r="BR53" s="70">
        <v>0.18</v>
      </c>
      <c r="BT53" s="70">
        <v>1</v>
      </c>
      <c r="BX53" s="70" t="s">
        <v>7392</v>
      </c>
      <c r="BY53" s="70">
        <v>1.7</v>
      </c>
      <c r="CE53" s="70">
        <v>0.6</v>
      </c>
      <c r="CK53" s="70">
        <v>0.42</v>
      </c>
    </row>
    <row r="54" spans="1:89" s="70" customFormat="1" x14ac:dyDescent="0.2">
      <c r="A54" s="28" t="s">
        <v>7510</v>
      </c>
      <c r="B54" s="70" t="s">
        <v>7260</v>
      </c>
      <c r="D54" s="70" t="s">
        <v>7676</v>
      </c>
      <c r="E54" s="70" t="s">
        <v>7</v>
      </c>
      <c r="F54" s="70" t="s">
        <v>7306</v>
      </c>
      <c r="H54" s="70" t="s">
        <v>7675</v>
      </c>
      <c r="J54" s="70" t="s">
        <v>7352</v>
      </c>
      <c r="K54" s="70">
        <v>2008</v>
      </c>
      <c r="L54" s="70" t="s">
        <v>7353</v>
      </c>
      <c r="M54" s="70" t="s">
        <v>7309</v>
      </c>
      <c r="N54" s="70">
        <v>1.1000000000000001</v>
      </c>
      <c r="BQ54" s="70">
        <v>9.9000000000000005E-2</v>
      </c>
      <c r="BR54" s="70">
        <v>0.13</v>
      </c>
      <c r="BT54" s="70">
        <v>1.1000000000000001</v>
      </c>
      <c r="BX54" s="70">
        <v>20</v>
      </c>
      <c r="BY54" s="70">
        <v>1.8</v>
      </c>
      <c r="CE54" s="70" t="s">
        <v>7391</v>
      </c>
      <c r="CK54" s="70">
        <v>0.55000000000000004</v>
      </c>
    </row>
    <row r="55" spans="1:89" s="70" customFormat="1" x14ac:dyDescent="0.2">
      <c r="A55" s="28" t="s">
        <v>7511</v>
      </c>
      <c r="D55" s="70" t="s">
        <v>7284</v>
      </c>
      <c r="E55" s="70" t="s">
        <v>11</v>
      </c>
      <c r="F55" s="70" t="s">
        <v>7306</v>
      </c>
      <c r="H55" s="70" t="s">
        <v>7354</v>
      </c>
      <c r="J55" s="70" t="s">
        <v>7352</v>
      </c>
      <c r="K55" s="70">
        <v>2008</v>
      </c>
      <c r="L55" s="70" t="s">
        <v>7353</v>
      </c>
      <c r="M55" s="70" t="s">
        <v>7309</v>
      </c>
      <c r="N55" s="70">
        <v>1.1000000000000001</v>
      </c>
      <c r="BQ55" s="70">
        <v>0.16</v>
      </c>
      <c r="BR55" s="70">
        <v>0.28999999999999998</v>
      </c>
      <c r="BT55" s="70">
        <v>0.8</v>
      </c>
      <c r="BX55" s="70" t="s">
        <v>7392</v>
      </c>
      <c r="BY55" s="70">
        <v>0.88</v>
      </c>
      <c r="CE55" s="70">
        <v>0.3</v>
      </c>
      <c r="CK55" s="70">
        <v>0.05</v>
      </c>
    </row>
    <row r="56" spans="1:89" s="70" customFormat="1" x14ac:dyDescent="0.2">
      <c r="A56" s="28" t="s">
        <v>7512</v>
      </c>
      <c r="D56" s="70" t="s">
        <v>7284</v>
      </c>
      <c r="E56" s="70" t="s">
        <v>11</v>
      </c>
      <c r="F56" s="70" t="s">
        <v>7306</v>
      </c>
      <c r="H56" s="70" t="s">
        <v>7354</v>
      </c>
      <c r="J56" s="70" t="s">
        <v>7352</v>
      </c>
      <c r="K56" s="70">
        <v>2008</v>
      </c>
      <c r="L56" s="70" t="s">
        <v>7353</v>
      </c>
      <c r="M56" s="70" t="s">
        <v>7309</v>
      </c>
      <c r="N56" s="70">
        <v>1.1000000000000001</v>
      </c>
      <c r="BQ56" s="70">
        <v>0.28000000000000003</v>
      </c>
      <c r="BR56" s="70">
        <v>0.41</v>
      </c>
      <c r="BT56" s="70">
        <v>0.7</v>
      </c>
      <c r="BX56" s="70">
        <v>20</v>
      </c>
      <c r="BY56" s="70">
        <v>0.66</v>
      </c>
      <c r="CE56" s="70">
        <v>1.2</v>
      </c>
      <c r="CK56" s="70">
        <v>0.56999999999999995</v>
      </c>
    </row>
    <row r="57" spans="1:89" s="70" customFormat="1" x14ac:dyDescent="0.2">
      <c r="A57" s="28" t="s">
        <v>7513</v>
      </c>
      <c r="B57" s="70" t="s">
        <v>1030</v>
      </c>
      <c r="D57" s="70" t="s">
        <v>7284</v>
      </c>
      <c r="E57" s="70" t="s">
        <v>11</v>
      </c>
      <c r="F57" s="70" t="s">
        <v>7306</v>
      </c>
      <c r="H57" s="70" t="s">
        <v>7354</v>
      </c>
      <c r="J57" s="70" t="s">
        <v>7352</v>
      </c>
      <c r="K57" s="70">
        <v>2008</v>
      </c>
      <c r="L57" s="70" t="s">
        <v>7353</v>
      </c>
      <c r="M57" s="70" t="s">
        <v>7309</v>
      </c>
      <c r="N57" s="70">
        <v>1.1000000000000001</v>
      </c>
      <c r="BQ57" s="70">
        <v>0.21</v>
      </c>
      <c r="BR57" s="70">
        <v>0.52</v>
      </c>
      <c r="BT57" s="70">
        <v>1.3</v>
      </c>
      <c r="BX57" s="70">
        <v>20</v>
      </c>
      <c r="BY57" s="70">
        <v>1.2</v>
      </c>
      <c r="CE57" s="70">
        <v>0.9</v>
      </c>
      <c r="CK57" s="70">
        <v>0.48</v>
      </c>
    </row>
    <row r="58" spans="1:89" s="70" customFormat="1" x14ac:dyDescent="0.2">
      <c r="A58" s="28" t="s">
        <v>7514</v>
      </c>
      <c r="B58" s="70" t="s">
        <v>2955</v>
      </c>
      <c r="D58" s="70" t="s">
        <v>7285</v>
      </c>
      <c r="E58" s="70" t="s">
        <v>11</v>
      </c>
      <c r="F58" s="70" t="s">
        <v>7306</v>
      </c>
      <c r="H58" s="70" t="s">
        <v>7354</v>
      </c>
      <c r="J58" s="70" t="s">
        <v>7352</v>
      </c>
      <c r="K58" s="70">
        <v>2008</v>
      </c>
      <c r="L58" s="70" t="s">
        <v>7353</v>
      </c>
      <c r="M58" s="70" t="s">
        <v>7309</v>
      </c>
      <c r="N58" s="70">
        <v>1.1000000000000001</v>
      </c>
      <c r="BQ58" s="70">
        <v>0.15</v>
      </c>
      <c r="BR58" s="70">
        <v>0.22</v>
      </c>
      <c r="BT58" s="70">
        <v>0.78</v>
      </c>
      <c r="BX58" s="70" t="s">
        <v>7392</v>
      </c>
      <c r="BY58" s="70">
        <v>0.95</v>
      </c>
      <c r="CE58" s="70">
        <v>0.4</v>
      </c>
      <c r="CK58" s="70">
        <v>0.15</v>
      </c>
    </row>
    <row r="59" spans="1:89" s="70" customFormat="1" x14ac:dyDescent="0.2">
      <c r="A59" s="28" t="s">
        <v>7515</v>
      </c>
      <c r="B59" s="70" t="s">
        <v>7262</v>
      </c>
      <c r="D59" s="70" t="s">
        <v>7285</v>
      </c>
      <c r="E59" s="70" t="s">
        <v>11</v>
      </c>
      <c r="F59" s="70" t="s">
        <v>7306</v>
      </c>
      <c r="H59" s="70" t="s">
        <v>7354</v>
      </c>
      <c r="J59" s="70" t="s">
        <v>7352</v>
      </c>
      <c r="K59" s="70">
        <v>2008</v>
      </c>
      <c r="L59" s="70" t="s">
        <v>7353</v>
      </c>
      <c r="M59" s="70" t="s">
        <v>7309</v>
      </c>
      <c r="N59" s="70">
        <v>1.1000000000000001</v>
      </c>
      <c r="BQ59" s="70">
        <v>0.17</v>
      </c>
      <c r="BR59" s="70">
        <v>0.23</v>
      </c>
      <c r="BT59" s="70">
        <v>1.2</v>
      </c>
      <c r="BX59" s="70" t="s">
        <v>7392</v>
      </c>
      <c r="BY59" s="70">
        <v>1</v>
      </c>
      <c r="CE59" s="70">
        <v>0.3</v>
      </c>
      <c r="CK59" s="70">
        <v>0.11</v>
      </c>
    </row>
    <row r="60" spans="1:89" s="70" customFormat="1" x14ac:dyDescent="0.2">
      <c r="A60" s="28" t="s">
        <v>7516</v>
      </c>
      <c r="D60" s="70" t="s">
        <v>7286</v>
      </c>
      <c r="E60" s="70" t="s">
        <v>11</v>
      </c>
      <c r="F60" s="70" t="s">
        <v>7306</v>
      </c>
      <c r="H60" s="70" t="s">
        <v>7354</v>
      </c>
      <c r="J60" s="70" t="s">
        <v>7352</v>
      </c>
      <c r="K60" s="70">
        <v>2008</v>
      </c>
      <c r="L60" s="70" t="s">
        <v>7353</v>
      </c>
      <c r="M60" s="70" t="s">
        <v>7309</v>
      </c>
      <c r="N60" s="70">
        <v>1.1000000000000001</v>
      </c>
      <c r="BQ60" s="70">
        <v>0.39</v>
      </c>
      <c r="BR60" s="70">
        <v>0.67</v>
      </c>
      <c r="BT60" s="70">
        <v>0.94</v>
      </c>
      <c r="BX60" s="70" t="s">
        <v>7392</v>
      </c>
      <c r="BY60" s="70">
        <v>1.8</v>
      </c>
      <c r="CE60" s="70">
        <v>1</v>
      </c>
      <c r="CK60" s="70">
        <v>6.9000000000000006E-2</v>
      </c>
    </row>
    <row r="61" spans="1:89" s="70" customFormat="1" x14ac:dyDescent="0.2">
      <c r="A61" s="28" t="s">
        <v>7517</v>
      </c>
      <c r="B61" s="70" t="s">
        <v>1030</v>
      </c>
      <c r="D61" s="70" t="s">
        <v>7286</v>
      </c>
      <c r="E61" s="70" t="s">
        <v>11</v>
      </c>
      <c r="F61" s="70" t="s">
        <v>7306</v>
      </c>
      <c r="H61" s="70" t="s">
        <v>7354</v>
      </c>
      <c r="J61" s="70" t="s">
        <v>7352</v>
      </c>
      <c r="K61" s="70">
        <v>2008</v>
      </c>
      <c r="L61" s="70" t="s">
        <v>7353</v>
      </c>
      <c r="M61" s="70" t="s">
        <v>7309</v>
      </c>
      <c r="N61" s="70">
        <v>1.1000000000000001</v>
      </c>
      <c r="BQ61" s="70">
        <v>0.28999999999999998</v>
      </c>
      <c r="BR61" s="70">
        <v>0.92</v>
      </c>
      <c r="BT61" s="70">
        <v>2</v>
      </c>
      <c r="BX61" s="70">
        <v>30</v>
      </c>
      <c r="BY61" s="70">
        <v>2</v>
      </c>
      <c r="CE61" s="70">
        <v>1.5</v>
      </c>
      <c r="CK61" s="70">
        <v>0.54</v>
      </c>
    </row>
    <row r="62" spans="1:89" s="70" customFormat="1" x14ac:dyDescent="0.2">
      <c r="A62" s="28" t="s">
        <v>7518</v>
      </c>
      <c r="B62" s="70" t="s">
        <v>7263</v>
      </c>
      <c r="D62" s="70" t="s">
        <v>7287</v>
      </c>
      <c r="E62" s="70" t="s">
        <v>7</v>
      </c>
      <c r="F62" s="70" t="s">
        <v>7307</v>
      </c>
      <c r="J62" s="70" t="s">
        <v>7352</v>
      </c>
      <c r="K62" s="70">
        <v>2008</v>
      </c>
      <c r="L62" s="70" t="s">
        <v>7353</v>
      </c>
      <c r="M62" s="70" t="s">
        <v>7309</v>
      </c>
      <c r="N62" s="70">
        <v>1.1000000000000001</v>
      </c>
      <c r="BQ62" s="70">
        <v>0.16</v>
      </c>
      <c r="BR62" s="70">
        <v>0.1</v>
      </c>
      <c r="BT62" s="70">
        <v>3.9</v>
      </c>
      <c r="BX62" s="70" t="s">
        <v>7392</v>
      </c>
      <c r="BY62" s="70">
        <v>1.9</v>
      </c>
      <c r="CE62" s="70">
        <v>0.4</v>
      </c>
      <c r="CK62" s="70">
        <v>0.12</v>
      </c>
    </row>
    <row r="63" spans="1:89" s="70" customFormat="1" x14ac:dyDescent="0.2">
      <c r="A63" s="28" t="s">
        <v>7519</v>
      </c>
      <c r="D63" s="70" t="s">
        <v>7677</v>
      </c>
      <c r="E63" s="70" t="s">
        <v>11</v>
      </c>
      <c r="F63" s="70" t="s">
        <v>7307</v>
      </c>
      <c r="H63" s="70" t="s">
        <v>7675</v>
      </c>
      <c r="J63" s="70" t="s">
        <v>7352</v>
      </c>
      <c r="K63" s="70">
        <v>2008</v>
      </c>
      <c r="L63" s="70" t="s">
        <v>7353</v>
      </c>
      <c r="M63" s="70" t="s">
        <v>7309</v>
      </c>
      <c r="N63" s="70">
        <v>1.1000000000000001</v>
      </c>
      <c r="BQ63" s="70">
        <v>0.16</v>
      </c>
      <c r="BR63" s="70">
        <v>0.16</v>
      </c>
      <c r="BT63" s="70">
        <v>0.81</v>
      </c>
      <c r="BX63" s="70" t="s">
        <v>7392</v>
      </c>
      <c r="BY63" s="70">
        <v>1.6</v>
      </c>
      <c r="CE63" s="70" t="s">
        <v>7391</v>
      </c>
      <c r="CK63" s="70">
        <v>6.2E-2</v>
      </c>
    </row>
    <row r="64" spans="1:89" s="70" customFormat="1" x14ac:dyDescent="0.2">
      <c r="A64" s="28" t="s">
        <v>7520</v>
      </c>
      <c r="D64" s="70" t="s">
        <v>7677</v>
      </c>
      <c r="E64" s="70" t="s">
        <v>11</v>
      </c>
      <c r="F64" s="70" t="s">
        <v>7307</v>
      </c>
      <c r="H64" s="70" t="s">
        <v>7675</v>
      </c>
      <c r="J64" s="70" t="s">
        <v>7352</v>
      </c>
      <c r="K64" s="70">
        <v>2008</v>
      </c>
      <c r="L64" s="70" t="s">
        <v>7353</v>
      </c>
      <c r="M64" s="70" t="s">
        <v>7309</v>
      </c>
      <c r="N64" s="70">
        <v>1.1000000000000001</v>
      </c>
      <c r="BQ64" s="70">
        <v>0.2</v>
      </c>
      <c r="BR64" s="70">
        <v>0.26</v>
      </c>
      <c r="BT64" s="70">
        <v>1.5</v>
      </c>
      <c r="BX64" s="70" t="s">
        <v>7392</v>
      </c>
      <c r="BY64" s="70">
        <v>1.8</v>
      </c>
      <c r="CE64" s="70">
        <v>0.5</v>
      </c>
      <c r="CK64" s="70">
        <v>0.11</v>
      </c>
    </row>
    <row r="65" spans="1:227" s="70" customFormat="1" x14ac:dyDescent="0.2">
      <c r="A65" s="28" t="s">
        <v>7521</v>
      </c>
      <c r="B65" s="70" t="s">
        <v>1030</v>
      </c>
      <c r="D65" s="70" t="s">
        <v>7677</v>
      </c>
      <c r="E65" s="70" t="s">
        <v>11</v>
      </c>
      <c r="F65" s="70" t="s">
        <v>7307</v>
      </c>
      <c r="H65" s="70" t="s">
        <v>7675</v>
      </c>
      <c r="J65" s="70" t="s">
        <v>7352</v>
      </c>
      <c r="K65" s="70">
        <v>2008</v>
      </c>
      <c r="L65" s="70" t="s">
        <v>7353</v>
      </c>
      <c r="M65" s="70" t="s">
        <v>7309</v>
      </c>
      <c r="N65" s="70">
        <v>1.1000000000000001</v>
      </c>
      <c r="BQ65" s="70">
        <v>0.19</v>
      </c>
      <c r="BR65" s="70">
        <v>0.33</v>
      </c>
      <c r="BT65" s="70">
        <v>1.6</v>
      </c>
      <c r="BX65" s="70" t="s">
        <v>7392</v>
      </c>
      <c r="BY65" s="70">
        <v>1.2</v>
      </c>
      <c r="CE65" s="70" t="s">
        <v>7391</v>
      </c>
      <c r="CK65" s="70">
        <v>7.6999999999999999E-2</v>
      </c>
    </row>
    <row r="66" spans="1:227" s="70" customFormat="1" x14ac:dyDescent="0.2">
      <c r="A66" s="28" t="s">
        <v>7522</v>
      </c>
      <c r="B66" s="70" t="s">
        <v>2955</v>
      </c>
      <c r="D66" s="70" t="s">
        <v>7678</v>
      </c>
      <c r="E66" s="70" t="s">
        <v>7</v>
      </c>
      <c r="F66" s="70" t="s">
        <v>7307</v>
      </c>
      <c r="H66" s="70" t="s">
        <v>7675</v>
      </c>
      <c r="J66" s="70" t="s">
        <v>7352</v>
      </c>
      <c r="K66" s="70">
        <v>2008</v>
      </c>
      <c r="L66" s="70" t="s">
        <v>7353</v>
      </c>
      <c r="M66" s="70" t="s">
        <v>7309</v>
      </c>
      <c r="N66" s="70">
        <v>1.1000000000000001</v>
      </c>
      <c r="BQ66" s="70">
        <v>0.11</v>
      </c>
      <c r="BR66" s="70">
        <v>0.12</v>
      </c>
      <c r="BT66" s="70">
        <v>0.73</v>
      </c>
      <c r="BX66" s="70" t="s">
        <v>7392</v>
      </c>
      <c r="BY66" s="70">
        <v>1.2</v>
      </c>
      <c r="CE66" s="70" t="s">
        <v>7391</v>
      </c>
      <c r="CK66" s="70">
        <v>3.7999999999999999E-2</v>
      </c>
    </row>
    <row r="67" spans="1:227" s="70" customFormat="1" x14ac:dyDescent="0.2">
      <c r="A67" s="28" t="s">
        <v>7523</v>
      </c>
      <c r="D67" s="70" t="s">
        <v>7288</v>
      </c>
      <c r="E67" s="70" t="s">
        <v>11</v>
      </c>
      <c r="F67" s="70" t="s">
        <v>7307</v>
      </c>
      <c r="J67" s="70" t="s">
        <v>7352</v>
      </c>
      <c r="K67" s="70">
        <v>2008</v>
      </c>
      <c r="L67" s="70" t="s">
        <v>7353</v>
      </c>
      <c r="M67" s="70" t="s">
        <v>7309</v>
      </c>
      <c r="N67" s="70">
        <v>1.1000000000000001</v>
      </c>
      <c r="BQ67" s="70">
        <v>0.17</v>
      </c>
      <c r="BR67" s="70">
        <v>0.3</v>
      </c>
      <c r="BT67" s="70">
        <v>0.77</v>
      </c>
      <c r="BX67" s="70" t="s">
        <v>7392</v>
      </c>
      <c r="BY67" s="70">
        <v>1.1000000000000001</v>
      </c>
      <c r="CE67" s="70" t="s">
        <v>7391</v>
      </c>
      <c r="CK67" s="70">
        <v>8.5000000000000006E-2</v>
      </c>
    </row>
    <row r="68" spans="1:227" s="70" customFormat="1" x14ac:dyDescent="0.2">
      <c r="A68" s="28" t="s">
        <v>7524</v>
      </c>
      <c r="B68" s="70" t="s">
        <v>7264</v>
      </c>
      <c r="D68" s="70" t="s">
        <v>7289</v>
      </c>
      <c r="E68" s="70" t="s">
        <v>7</v>
      </c>
      <c r="I68" s="70">
        <v>2</v>
      </c>
      <c r="J68" s="70" t="s">
        <v>7355</v>
      </c>
      <c r="K68" s="70">
        <v>2010</v>
      </c>
      <c r="L68" s="70" t="s">
        <v>7356</v>
      </c>
      <c r="M68" s="70" t="s">
        <v>7320</v>
      </c>
      <c r="N68" s="70">
        <v>1.1000000000000001</v>
      </c>
      <c r="U68" s="70">
        <v>10.6</v>
      </c>
      <c r="W68" s="70">
        <v>6.25</v>
      </c>
      <c r="AB68" s="70">
        <v>8.8000000000000007</v>
      </c>
      <c r="AZ68" s="70">
        <v>71.84</v>
      </c>
      <c r="BF68" s="70">
        <v>4.58</v>
      </c>
      <c r="BG68" s="70">
        <v>4.32</v>
      </c>
      <c r="BH68" s="70">
        <v>0.25</v>
      </c>
      <c r="BO68" s="70">
        <v>17.3</v>
      </c>
      <c r="BR68" s="70">
        <v>1</v>
      </c>
      <c r="HE68" s="70">
        <v>187</v>
      </c>
      <c r="HR68" s="70">
        <v>6</v>
      </c>
      <c r="HS68" s="70">
        <v>13.41</v>
      </c>
    </row>
    <row r="69" spans="1:227" s="70" customFormat="1" x14ac:dyDescent="0.2">
      <c r="A69" s="28" t="s">
        <v>7525</v>
      </c>
      <c r="B69" s="70" t="s">
        <v>7264</v>
      </c>
      <c r="D69" s="70" t="s">
        <v>7272</v>
      </c>
      <c r="E69" s="70" t="s">
        <v>7</v>
      </c>
      <c r="I69" s="70">
        <v>2</v>
      </c>
      <c r="J69" s="70" t="s">
        <v>7355</v>
      </c>
      <c r="K69" s="70">
        <v>2010</v>
      </c>
      <c r="L69" s="70" t="s">
        <v>7356</v>
      </c>
      <c r="M69" s="70" t="s">
        <v>7320</v>
      </c>
      <c r="N69" s="70">
        <v>1.1000000000000001</v>
      </c>
      <c r="U69" s="70">
        <v>9.8000000000000007</v>
      </c>
      <c r="W69" s="70">
        <v>6.25</v>
      </c>
      <c r="AB69" s="70">
        <v>14.82</v>
      </c>
      <c r="AZ69" s="70">
        <v>20.83</v>
      </c>
      <c r="BF69" s="70">
        <v>38.200000000000003</v>
      </c>
      <c r="BG69" s="70">
        <v>33.6</v>
      </c>
      <c r="BH69" s="70">
        <v>4.5999999999999996</v>
      </c>
      <c r="BO69" s="70">
        <v>63.32</v>
      </c>
      <c r="BR69" s="70">
        <v>21.65</v>
      </c>
      <c r="HE69" s="70">
        <v>655</v>
      </c>
      <c r="HR69" s="70">
        <v>360</v>
      </c>
      <c r="HS69" s="70">
        <v>20.74</v>
      </c>
    </row>
    <row r="70" spans="1:227" s="70" customFormat="1" x14ac:dyDescent="0.2">
      <c r="A70" s="28" t="s">
        <v>7526</v>
      </c>
      <c r="B70" s="70" t="s">
        <v>7265</v>
      </c>
      <c r="D70" s="70" t="s">
        <v>7290</v>
      </c>
      <c r="E70" s="70" t="s">
        <v>7</v>
      </c>
      <c r="F70" s="70" t="s">
        <v>6209</v>
      </c>
      <c r="H70" s="70" t="s">
        <v>7696</v>
      </c>
      <c r="I70" s="70">
        <v>36</v>
      </c>
      <c r="J70" s="70" t="s">
        <v>7357</v>
      </c>
      <c r="K70" s="70">
        <v>2012</v>
      </c>
      <c r="L70" s="70" t="s">
        <v>7358</v>
      </c>
      <c r="M70" s="70" t="s">
        <v>7309</v>
      </c>
      <c r="N70" s="70">
        <v>1.1000000000000001</v>
      </c>
      <c r="R70" s="70">
        <v>350</v>
      </c>
      <c r="U70" s="70">
        <v>12.2</v>
      </c>
      <c r="AB70" s="70">
        <v>6.9</v>
      </c>
      <c r="AE70" s="70">
        <v>0.26</v>
      </c>
      <c r="AM70" s="70">
        <v>80</v>
      </c>
      <c r="BF70" s="70">
        <v>0.11</v>
      </c>
      <c r="BM70" s="70">
        <v>0.5</v>
      </c>
      <c r="BO70" s="70">
        <v>6.3</v>
      </c>
      <c r="BR70" s="70">
        <v>2.2999999999999998</v>
      </c>
      <c r="BT70" s="70">
        <v>1.2</v>
      </c>
      <c r="BU70" s="70">
        <v>27.6</v>
      </c>
      <c r="BW70" s="70">
        <v>107.4</v>
      </c>
      <c r="CC70" s="70">
        <v>2</v>
      </c>
      <c r="CE70" s="70">
        <v>29</v>
      </c>
      <c r="CJ70" s="70">
        <v>40</v>
      </c>
    </row>
    <row r="71" spans="1:227" s="70" customFormat="1" x14ac:dyDescent="0.2">
      <c r="A71" s="28" t="s">
        <v>7527</v>
      </c>
      <c r="B71" s="70" t="s">
        <v>7265</v>
      </c>
      <c r="D71" s="70" t="s">
        <v>7290</v>
      </c>
      <c r="E71" s="70" t="s">
        <v>7</v>
      </c>
      <c r="F71" s="70" t="s">
        <v>6209</v>
      </c>
      <c r="H71" s="70" t="s">
        <v>7697</v>
      </c>
      <c r="I71" s="70">
        <v>36</v>
      </c>
      <c r="J71" s="70" t="s">
        <v>7357</v>
      </c>
      <c r="K71" s="70">
        <v>2012</v>
      </c>
      <c r="L71" s="70" t="s">
        <v>7358</v>
      </c>
      <c r="M71" s="70" t="s">
        <v>7309</v>
      </c>
      <c r="N71" s="70">
        <v>1.1000000000000001</v>
      </c>
      <c r="R71" s="70">
        <v>352</v>
      </c>
      <c r="U71" s="70">
        <v>11.9</v>
      </c>
      <c r="AB71" s="70">
        <v>7</v>
      </c>
      <c r="AE71" s="70">
        <v>0.35</v>
      </c>
      <c r="AM71" s="70">
        <v>80.099999999999994</v>
      </c>
      <c r="BF71" s="70">
        <v>0.11</v>
      </c>
      <c r="BM71" s="70">
        <v>0.54</v>
      </c>
      <c r="BO71" s="70">
        <v>6</v>
      </c>
      <c r="BR71" s="70">
        <v>5.3</v>
      </c>
      <c r="BT71" s="70">
        <v>1.2</v>
      </c>
      <c r="BU71" s="70">
        <v>27.6</v>
      </c>
      <c r="BW71" s="70">
        <v>102.6</v>
      </c>
      <c r="CC71" s="70">
        <v>5</v>
      </c>
      <c r="CE71" s="70">
        <v>26</v>
      </c>
      <c r="CJ71" s="70">
        <v>14</v>
      </c>
    </row>
    <row r="72" spans="1:227" s="70" customFormat="1" x14ac:dyDescent="0.2">
      <c r="A72" s="28" t="s">
        <v>7528</v>
      </c>
      <c r="B72" s="70" t="s">
        <v>7266</v>
      </c>
      <c r="D72" s="70" t="s">
        <v>7290</v>
      </c>
      <c r="E72" s="70" t="s">
        <v>7</v>
      </c>
      <c r="F72" s="70" t="s">
        <v>6209</v>
      </c>
      <c r="H72" s="70" t="s">
        <v>7696</v>
      </c>
      <c r="I72" s="70">
        <v>36</v>
      </c>
      <c r="J72" s="70" t="s">
        <v>7357</v>
      </c>
      <c r="K72" s="70">
        <v>2012</v>
      </c>
      <c r="L72" s="70" t="s">
        <v>7358</v>
      </c>
      <c r="M72" s="70" t="s">
        <v>7309</v>
      </c>
      <c r="N72" s="70">
        <v>1.1000000000000001</v>
      </c>
      <c r="R72" s="70">
        <v>359</v>
      </c>
      <c r="U72" s="70">
        <v>10.199999999999999</v>
      </c>
      <c r="AB72" s="70">
        <v>9.9</v>
      </c>
      <c r="AE72" s="70">
        <v>0.4</v>
      </c>
      <c r="AM72" s="70">
        <v>78.900000000000006</v>
      </c>
      <c r="BF72" s="70">
        <v>0.1</v>
      </c>
      <c r="BM72" s="70">
        <v>0.53</v>
      </c>
      <c r="BO72" s="70">
        <v>10.4</v>
      </c>
      <c r="BR72" s="70">
        <v>1.1000000000000001</v>
      </c>
      <c r="BT72" s="70">
        <v>1.1000000000000001</v>
      </c>
      <c r="BU72" s="70">
        <v>25.3</v>
      </c>
      <c r="BW72" s="70">
        <v>155.6</v>
      </c>
      <c r="CC72" s="70">
        <v>4</v>
      </c>
      <c r="CE72" s="70">
        <v>21</v>
      </c>
      <c r="CJ72" s="70">
        <v>27</v>
      </c>
    </row>
    <row r="73" spans="1:227" s="70" customFormat="1" x14ac:dyDescent="0.2">
      <c r="A73" s="28" t="s">
        <v>7529</v>
      </c>
      <c r="B73" s="70" t="s">
        <v>7266</v>
      </c>
      <c r="D73" s="70" t="s">
        <v>7290</v>
      </c>
      <c r="E73" s="70" t="s">
        <v>7</v>
      </c>
      <c r="F73" s="70" t="s">
        <v>6209</v>
      </c>
      <c r="H73" s="70" t="s">
        <v>7697</v>
      </c>
      <c r="I73" s="70">
        <v>36</v>
      </c>
      <c r="J73" s="70" t="s">
        <v>7357</v>
      </c>
      <c r="K73" s="70">
        <v>2012</v>
      </c>
      <c r="L73" s="70" t="s">
        <v>7358</v>
      </c>
      <c r="M73" s="70" t="s">
        <v>7309</v>
      </c>
      <c r="N73" s="70">
        <v>1.1000000000000001</v>
      </c>
      <c r="R73" s="70">
        <v>361</v>
      </c>
      <c r="U73" s="70">
        <v>9.8000000000000007</v>
      </c>
      <c r="AB73" s="70">
        <v>10</v>
      </c>
      <c r="AE73" s="70">
        <v>0.54</v>
      </c>
      <c r="AM73" s="70">
        <v>79</v>
      </c>
      <c r="BF73" s="70">
        <v>0.11</v>
      </c>
      <c r="BM73" s="70">
        <v>0.51</v>
      </c>
      <c r="BO73" s="70">
        <v>9.3000000000000007</v>
      </c>
      <c r="BR73" s="70">
        <v>1.7</v>
      </c>
      <c r="BT73" s="70">
        <v>1.1000000000000001</v>
      </c>
      <c r="BU73" s="70">
        <v>28.6</v>
      </c>
      <c r="BW73" s="70">
        <v>117.4</v>
      </c>
      <c r="CC73" s="70">
        <v>1</v>
      </c>
      <c r="CE73" s="70">
        <v>20</v>
      </c>
      <c r="CJ73" s="70">
        <v>19</v>
      </c>
    </row>
    <row r="74" spans="1:227" s="70" customFormat="1" x14ac:dyDescent="0.2">
      <c r="A74" s="28" t="s">
        <v>7530</v>
      </c>
      <c r="B74" s="70" t="s">
        <v>7267</v>
      </c>
      <c r="D74" s="70" t="s">
        <v>7291</v>
      </c>
      <c r="E74" s="70" t="s">
        <v>7</v>
      </c>
      <c r="F74" s="70" t="s">
        <v>6209</v>
      </c>
      <c r="H74" s="70" t="s">
        <v>7359</v>
      </c>
      <c r="J74" s="70" t="s">
        <v>7360</v>
      </c>
      <c r="K74" s="70">
        <v>2008</v>
      </c>
      <c r="L74" s="70" t="s">
        <v>7361</v>
      </c>
      <c r="M74" s="70" t="s">
        <v>7309</v>
      </c>
      <c r="N74" s="70">
        <v>1.1000000000000001</v>
      </c>
      <c r="U74" s="70">
        <v>12</v>
      </c>
      <c r="V74" s="70">
        <f t="shared" ref="V74:V80" si="7">100-U74</f>
        <v>88</v>
      </c>
      <c r="BO74" s="70">
        <f>V74/100/10*(120.37)</f>
        <v>10.592560000000001</v>
      </c>
      <c r="BQ74" s="70">
        <f>V74/100/10*(10.11)</f>
        <v>0.88967999999999992</v>
      </c>
      <c r="BR74" s="70">
        <f>V74/100/10*(5.35)</f>
        <v>0.47079999999999994</v>
      </c>
      <c r="BS74" s="70">
        <f>V74/100/10*(795.53)</f>
        <v>70.00663999999999</v>
      </c>
      <c r="BT74" s="70">
        <f>V74/100/10*(10.57)</f>
        <v>0.93015999999999999</v>
      </c>
      <c r="BU74" s="70">
        <f>V74/100/10*(194.14)</f>
        <v>17.084319999999998</v>
      </c>
      <c r="BV74" s="70">
        <f>V74/100/10*(21.44)</f>
        <v>1.88672</v>
      </c>
      <c r="BY74" s="70">
        <f>V74/100/10*(25.77)</f>
        <v>2.26776</v>
      </c>
    </row>
    <row r="75" spans="1:227" s="70" customFormat="1" x14ac:dyDescent="0.2">
      <c r="A75" s="28" t="s">
        <v>7531</v>
      </c>
      <c r="B75" s="70" t="s">
        <v>7267</v>
      </c>
      <c r="D75" s="70" t="s">
        <v>7292</v>
      </c>
      <c r="E75" s="70" t="s">
        <v>7</v>
      </c>
      <c r="F75" s="70" t="s">
        <v>6209</v>
      </c>
      <c r="H75" s="70" t="s">
        <v>7359</v>
      </c>
      <c r="J75" s="70" t="s">
        <v>7360</v>
      </c>
      <c r="K75" s="70">
        <v>2008</v>
      </c>
      <c r="L75" s="70" t="s">
        <v>7361</v>
      </c>
      <c r="M75" s="70" t="s">
        <v>7309</v>
      </c>
      <c r="N75" s="70">
        <v>1.1000000000000001</v>
      </c>
      <c r="U75" s="70">
        <v>12</v>
      </c>
      <c r="V75" s="70">
        <f t="shared" si="7"/>
        <v>88</v>
      </c>
      <c r="BO75" s="70">
        <f>V75/100/10*(109.03)</f>
        <v>9.5946400000000001</v>
      </c>
      <c r="BQ75" s="70">
        <f>V75/100/10*(8.12)</f>
        <v>0.71455999999999986</v>
      </c>
      <c r="BR75" s="70">
        <f>V75/100/10*(5.96)</f>
        <v>0.52447999999999995</v>
      </c>
      <c r="BS75" s="70">
        <f>V75/100/10*(916.86)</f>
        <v>80.683679999999995</v>
      </c>
      <c r="BT75" s="70">
        <f>V75/100/10*(12.67)</f>
        <v>1.11496</v>
      </c>
      <c r="BU75" s="70">
        <f>V75/100/10*(202.57)</f>
        <v>17.826159999999998</v>
      </c>
      <c r="BV75" s="70">
        <f>V75/100/10*(12.93)</f>
        <v>1.13784</v>
      </c>
      <c r="BY75" s="70">
        <f>V75/100/10*(27.38)</f>
        <v>2.4094399999999996</v>
      </c>
    </row>
    <row r="76" spans="1:227" s="70" customFormat="1" x14ac:dyDescent="0.2">
      <c r="A76" s="28" t="s">
        <v>7532</v>
      </c>
      <c r="B76" s="70" t="s">
        <v>7267</v>
      </c>
      <c r="D76" s="70" t="s">
        <v>7655</v>
      </c>
      <c r="E76" s="70" t="s">
        <v>7</v>
      </c>
      <c r="F76" s="70" t="s">
        <v>6209</v>
      </c>
      <c r="H76" s="70" t="s">
        <v>7362</v>
      </c>
      <c r="J76" s="70" t="s">
        <v>7360</v>
      </c>
      <c r="K76" s="70">
        <v>2008</v>
      </c>
      <c r="L76" s="70" t="s">
        <v>7361</v>
      </c>
      <c r="M76" s="70" t="s">
        <v>7309</v>
      </c>
      <c r="N76" s="70">
        <v>1.1000000000000001</v>
      </c>
      <c r="U76" s="70">
        <v>12</v>
      </c>
      <c r="V76" s="70">
        <f t="shared" si="7"/>
        <v>88</v>
      </c>
      <c r="BO76" s="70">
        <f>V76/100/10*(204.44)</f>
        <v>17.99072</v>
      </c>
      <c r="BQ76" s="70">
        <f>V76/100/10*(10.12)</f>
        <v>0.89055999999999991</v>
      </c>
      <c r="BR76" s="70">
        <f>V76/100/10*(23.07)</f>
        <v>2.03016</v>
      </c>
      <c r="BS76" s="70">
        <f>V76/100/10*(3431.64)</f>
        <v>301.98431999999997</v>
      </c>
      <c r="BT76" s="70">
        <f>V76/100/10*(22.8)</f>
        <v>2.0063999999999997</v>
      </c>
      <c r="BU76" s="70">
        <f>V76/100/10*(1408.47)</f>
        <v>123.94535999999999</v>
      </c>
      <c r="BV76" s="70">
        <f>V76/100/10*(39.06)</f>
        <v>3.4372799999999999</v>
      </c>
      <c r="BY76" s="70">
        <f>V76/100/10*(34.69)</f>
        <v>3.0527199999999994</v>
      </c>
    </row>
    <row r="77" spans="1:227" s="70" customFormat="1" x14ac:dyDescent="0.2">
      <c r="A77" s="28" t="s">
        <v>7533</v>
      </c>
      <c r="B77" s="70" t="s">
        <v>7267</v>
      </c>
      <c r="D77" s="70" t="s">
        <v>7290</v>
      </c>
      <c r="E77" s="70" t="s">
        <v>7</v>
      </c>
      <c r="F77" s="70" t="s">
        <v>6209</v>
      </c>
      <c r="H77" s="70" t="s">
        <v>7362</v>
      </c>
      <c r="J77" s="70" t="s">
        <v>7360</v>
      </c>
      <c r="K77" s="70">
        <v>2008</v>
      </c>
      <c r="L77" s="70" t="s">
        <v>7361</v>
      </c>
      <c r="M77" s="70" t="s">
        <v>7309</v>
      </c>
      <c r="N77" s="70">
        <v>1.1000000000000001</v>
      </c>
      <c r="U77" s="70">
        <v>12</v>
      </c>
      <c r="V77" s="70">
        <f t="shared" si="7"/>
        <v>88</v>
      </c>
      <c r="BO77" s="70">
        <f>V77/100/10*(117.88)</f>
        <v>10.373439999999999</v>
      </c>
      <c r="BQ77" s="70">
        <f>V77/100/10*(7.5)</f>
        <v>0.65999999999999992</v>
      </c>
      <c r="BR77" s="70">
        <f>V77/100/10*(5.06)</f>
        <v>0.44527999999999995</v>
      </c>
      <c r="BS77" s="70">
        <f>V77/100/10*(865.09)</f>
        <v>76.127920000000003</v>
      </c>
      <c r="BT77" s="70">
        <f>V77/100/10*(8.97)</f>
        <v>0.78936000000000006</v>
      </c>
      <c r="BU77" s="70">
        <f>V77/100/10*(211.28)</f>
        <v>18.592639999999999</v>
      </c>
      <c r="BV77" s="70">
        <f>V77/100/10*(26.03)</f>
        <v>2.2906399999999998</v>
      </c>
      <c r="BY77" s="70">
        <f>V77/100/10*(26.83)</f>
        <v>2.3610399999999996</v>
      </c>
    </row>
    <row r="78" spans="1:227" s="70" customFormat="1" x14ac:dyDescent="0.2">
      <c r="A78" s="28" t="s">
        <v>7534</v>
      </c>
      <c r="B78" s="70" t="s">
        <v>7267</v>
      </c>
      <c r="D78" s="70" t="s">
        <v>7293</v>
      </c>
      <c r="E78" s="70" t="s">
        <v>7</v>
      </c>
      <c r="F78" s="70" t="s">
        <v>6209</v>
      </c>
      <c r="J78" s="70" t="s">
        <v>7360</v>
      </c>
      <c r="K78" s="70">
        <v>2008</v>
      </c>
      <c r="L78" s="70" t="s">
        <v>7361</v>
      </c>
      <c r="M78" s="70" t="s">
        <v>7309</v>
      </c>
      <c r="N78" s="70">
        <v>1.1000000000000001</v>
      </c>
      <c r="U78" s="70">
        <v>12</v>
      </c>
      <c r="V78" s="70">
        <f t="shared" si="7"/>
        <v>88</v>
      </c>
      <c r="BO78" s="70">
        <f>V78/100/10*(121.53)</f>
        <v>10.69464</v>
      </c>
      <c r="BQ78" s="70">
        <f>V78/100/10*(9.96)</f>
        <v>0.87648000000000004</v>
      </c>
      <c r="BR78" s="70">
        <f>V78/100/10*(5.36)</f>
        <v>0.47167999999999999</v>
      </c>
      <c r="BS78" s="70">
        <f>V78/100/10*(815.02)</f>
        <v>71.721759999999989</v>
      </c>
      <c r="BT78" s="70">
        <f>V78/100/10*(10.77)</f>
        <v>0.94775999999999994</v>
      </c>
      <c r="BU78" s="70">
        <f>V78/100/10*(197.53)</f>
        <v>17.382639999999999</v>
      </c>
      <c r="BV78" s="70">
        <f>V78/100/10*(21.18)</f>
        <v>1.8638399999999999</v>
      </c>
      <c r="BY78" s="70">
        <f>V78/100/10*(25.73)</f>
        <v>2.26424</v>
      </c>
    </row>
    <row r="79" spans="1:227" s="70" customFormat="1" x14ac:dyDescent="0.2">
      <c r="A79" s="28" t="s">
        <v>7535</v>
      </c>
      <c r="B79" s="70" t="s">
        <v>7267</v>
      </c>
      <c r="D79" s="70" t="s">
        <v>7294</v>
      </c>
      <c r="E79" s="70" t="s">
        <v>7</v>
      </c>
      <c r="F79" s="70" t="s">
        <v>6209</v>
      </c>
      <c r="J79" s="70" t="s">
        <v>7360</v>
      </c>
      <c r="K79" s="70">
        <v>2008</v>
      </c>
      <c r="L79" s="70" t="s">
        <v>7361</v>
      </c>
      <c r="M79" s="70" t="s">
        <v>7309</v>
      </c>
      <c r="N79" s="70">
        <v>1.1000000000000001</v>
      </c>
      <c r="U79" s="70">
        <v>12</v>
      </c>
      <c r="V79" s="70">
        <f t="shared" si="7"/>
        <v>88</v>
      </c>
      <c r="BO79" s="70">
        <f>V79/100/10*(93.33)</f>
        <v>8.2130399999999995</v>
      </c>
      <c r="BQ79" s="70">
        <f>V79/100/10*(11.13)</f>
        <v>0.97943999999999998</v>
      </c>
      <c r="BR79" s="70">
        <f>V79/100/10*(5.5)</f>
        <v>0.48399999999999999</v>
      </c>
      <c r="BS79" s="70">
        <f>V79/100/10*(611.61)</f>
        <v>53.821680000000001</v>
      </c>
      <c r="BT79" s="70">
        <f>V79/100/10*(9.97)</f>
        <v>0.87736000000000003</v>
      </c>
      <c r="BU79" s="70">
        <f>V79/100/10*(145.83)</f>
        <v>12.83304</v>
      </c>
      <c r="BV79" s="70">
        <f>V79/100/10*(17.59)</f>
        <v>1.54792</v>
      </c>
      <c r="BY79" s="70">
        <f>V79/100/10*(31.52)</f>
        <v>2.7737599999999998</v>
      </c>
    </row>
    <row r="80" spans="1:227" s="70" customFormat="1" x14ac:dyDescent="0.2">
      <c r="A80" s="28" t="s">
        <v>7536</v>
      </c>
      <c r="B80" s="70" t="s">
        <v>7267</v>
      </c>
      <c r="D80" s="70" t="s">
        <v>7295</v>
      </c>
      <c r="E80" s="70" t="s">
        <v>7</v>
      </c>
      <c r="F80" s="70" t="s">
        <v>6209</v>
      </c>
      <c r="J80" s="70" t="s">
        <v>7360</v>
      </c>
      <c r="K80" s="70">
        <v>2008</v>
      </c>
      <c r="L80" s="70" t="s">
        <v>7361</v>
      </c>
      <c r="M80" s="70" t="s">
        <v>7309</v>
      </c>
      <c r="N80" s="70">
        <v>1.1000000000000001</v>
      </c>
      <c r="U80" s="70">
        <v>12</v>
      </c>
      <c r="V80" s="70">
        <f t="shared" si="7"/>
        <v>88</v>
      </c>
      <c r="BO80" s="70">
        <f>V80/100/10*(95.62)</f>
        <v>8.4145599999999998</v>
      </c>
      <c r="BQ80" s="70">
        <f>V80/100/10*(9.04)</f>
        <v>0.79551999999999989</v>
      </c>
      <c r="BR80" s="70">
        <f>V80/100/10*(6.33)</f>
        <v>0.55703999999999998</v>
      </c>
      <c r="BS80" s="70">
        <f>V80/100/10*(701.89)</f>
        <v>61.766319999999993</v>
      </c>
      <c r="BT80" s="70">
        <f>V80/100/10*(10.45)</f>
        <v>0.91959999999999986</v>
      </c>
      <c r="BU80" s="70">
        <f>V80/100/10*(173.11)</f>
        <v>15.23368</v>
      </c>
      <c r="BV80" s="70">
        <f>V80/100/10*(15.16)</f>
        <v>1.3340799999999999</v>
      </c>
      <c r="BY80" s="70">
        <f>V80/100/10*(26.38)</f>
        <v>2.3214399999999999</v>
      </c>
    </row>
    <row r="81" spans="1:75" s="70" customFormat="1" x14ac:dyDescent="0.2">
      <c r="A81" s="28" t="s">
        <v>7537</v>
      </c>
      <c r="B81" s="70" t="s">
        <v>7268</v>
      </c>
      <c r="C81" s="70" t="s">
        <v>7679</v>
      </c>
      <c r="D81" s="70" t="s">
        <v>7698</v>
      </c>
      <c r="E81" s="70" t="s">
        <v>7</v>
      </c>
      <c r="J81" s="70" t="s">
        <v>7363</v>
      </c>
      <c r="K81" s="70">
        <v>2012</v>
      </c>
      <c r="L81" s="70" t="s">
        <v>7364</v>
      </c>
      <c r="M81" s="70" t="s">
        <v>7320</v>
      </c>
      <c r="N81" s="70">
        <v>1.1000000000000001</v>
      </c>
      <c r="U81" s="70">
        <v>9.3000000000000007</v>
      </c>
      <c r="AD81" s="70">
        <v>7.5</v>
      </c>
      <c r="AF81" s="70">
        <v>1.18</v>
      </c>
      <c r="AR81" s="70">
        <v>21.2</v>
      </c>
      <c r="AZ81" s="70">
        <v>76.8</v>
      </c>
      <c r="BF81" s="70">
        <v>0.2</v>
      </c>
    </row>
    <row r="82" spans="1:75" s="70" customFormat="1" x14ac:dyDescent="0.2">
      <c r="A82" s="28" t="s">
        <v>7538</v>
      </c>
      <c r="B82" s="70" t="s">
        <v>7268</v>
      </c>
      <c r="C82" s="70" t="s">
        <v>7679</v>
      </c>
      <c r="D82" s="70" t="s">
        <v>7699</v>
      </c>
      <c r="E82" s="70" t="s">
        <v>7</v>
      </c>
      <c r="J82" s="70" t="s">
        <v>7365</v>
      </c>
      <c r="K82" s="70">
        <v>2012</v>
      </c>
      <c r="L82" s="70" t="s">
        <v>7364</v>
      </c>
      <c r="M82" s="70" t="s">
        <v>7320</v>
      </c>
      <c r="N82" s="70">
        <v>1.1000000000000001</v>
      </c>
      <c r="U82" s="70">
        <v>9.3000000000000007</v>
      </c>
      <c r="AF82" s="70">
        <v>22.6</v>
      </c>
      <c r="BF82" s="70">
        <v>8.5</v>
      </c>
    </row>
    <row r="83" spans="1:75" s="70" customFormat="1" x14ac:dyDescent="0.2">
      <c r="A83" s="28" t="s">
        <v>7539</v>
      </c>
      <c r="B83" s="70" t="s">
        <v>7269</v>
      </c>
      <c r="D83" s="70" t="s">
        <v>7296</v>
      </c>
      <c r="E83" s="70" t="s">
        <v>11</v>
      </c>
      <c r="F83" s="70" t="s">
        <v>6209</v>
      </c>
      <c r="H83" s="70" t="s">
        <v>7680</v>
      </c>
      <c r="J83" s="70" t="s">
        <v>7324</v>
      </c>
      <c r="K83" s="70">
        <v>1983</v>
      </c>
      <c r="L83" s="70" t="s">
        <v>7366</v>
      </c>
      <c r="M83" s="70" t="s">
        <v>7320</v>
      </c>
      <c r="N83" s="70">
        <v>1.1000000000000001</v>
      </c>
      <c r="U83" s="70">
        <v>12.59</v>
      </c>
      <c r="V83" s="70">
        <f>100-U83</f>
        <v>87.41</v>
      </c>
      <c r="W83" s="70">
        <v>5.95</v>
      </c>
      <c r="X83" s="70">
        <f>V83/100*1.19</f>
        <v>1.040179</v>
      </c>
      <c r="AD83" s="70">
        <f>V83/100*(7.08)</f>
        <v>6.1886279999999996</v>
      </c>
      <c r="AG83" s="70">
        <f>V83/100*(1.11)</f>
        <v>0.97025100000000009</v>
      </c>
      <c r="AR83" s="70">
        <f>V83/100*(19.9)</f>
        <v>17.394589999999997</v>
      </c>
      <c r="BF83" s="70">
        <f>V83/100*(0.39)</f>
        <v>0.34089900000000001</v>
      </c>
      <c r="BM83" s="70">
        <f>V83/100*(0.56)</f>
        <v>0.48949600000000004</v>
      </c>
    </row>
    <row r="84" spans="1:75" s="70" customFormat="1" x14ac:dyDescent="0.2">
      <c r="A84" s="28" t="s">
        <v>7540</v>
      </c>
      <c r="B84" s="70" t="s">
        <v>7269</v>
      </c>
      <c r="D84" s="70" t="s">
        <v>7296</v>
      </c>
      <c r="E84" s="70" t="s">
        <v>11</v>
      </c>
      <c r="F84" s="70" t="s">
        <v>6209</v>
      </c>
      <c r="H84" s="70" t="s">
        <v>7681</v>
      </c>
      <c r="J84" s="70" t="s">
        <v>7324</v>
      </c>
      <c r="K84" s="70">
        <v>1983</v>
      </c>
      <c r="L84" s="70" t="s">
        <v>7366</v>
      </c>
      <c r="M84" s="70" t="s">
        <v>7320</v>
      </c>
      <c r="N84" s="70">
        <v>1.1000000000000001</v>
      </c>
      <c r="U84" s="70">
        <v>13.43</v>
      </c>
      <c r="V84" s="70">
        <f>100-U84</f>
        <v>86.57</v>
      </c>
      <c r="W84" s="70">
        <v>5.95</v>
      </c>
      <c r="X84" s="70">
        <f>V84/100*1.14</f>
        <v>0.98689799999999983</v>
      </c>
      <c r="AD84" s="70">
        <f>V84/100*(6.78)</f>
        <v>5.8694459999999999</v>
      </c>
      <c r="AG84" s="70">
        <f>V84/100*(1.02)</f>
        <v>0.88301399999999997</v>
      </c>
      <c r="AR84" s="70">
        <f>V84/100*(18.9)</f>
        <v>16.361729999999998</v>
      </c>
      <c r="BF84" s="70">
        <f>V84/100*(0.31)</f>
        <v>0.26836699999999997</v>
      </c>
      <c r="BM84" s="70">
        <f>V84/100*(0.67)</f>
        <v>0.58001899999999995</v>
      </c>
    </row>
    <row r="85" spans="1:75" s="70" customFormat="1" x14ac:dyDescent="0.2">
      <c r="A85" s="28" t="s">
        <v>7541</v>
      </c>
      <c r="B85" s="70" t="s">
        <v>7270</v>
      </c>
      <c r="D85" s="70" t="s">
        <v>7297</v>
      </c>
      <c r="E85" s="70" t="s">
        <v>11</v>
      </c>
      <c r="F85" s="70" t="s">
        <v>6209</v>
      </c>
      <c r="H85" s="70" t="s">
        <v>7682</v>
      </c>
      <c r="J85" s="70" t="s">
        <v>7324</v>
      </c>
      <c r="K85" s="70">
        <v>1983</v>
      </c>
      <c r="L85" s="70" t="s">
        <v>7366</v>
      </c>
      <c r="M85" s="70" t="s">
        <v>7320</v>
      </c>
      <c r="N85" s="70">
        <v>1.1000000000000001</v>
      </c>
      <c r="U85" s="70">
        <v>11.53</v>
      </c>
      <c r="V85" s="70">
        <f>100-U85</f>
        <v>88.47</v>
      </c>
      <c r="W85" s="70">
        <v>5.95</v>
      </c>
      <c r="X85" s="70">
        <f>V85/100*1.54</f>
        <v>1.362438</v>
      </c>
      <c r="AD85" s="70">
        <f>V85/100*(9.16)</f>
        <v>8.1038519999999998</v>
      </c>
      <c r="AG85" s="70">
        <f>V85/100*(1.31)</f>
        <v>1.158957</v>
      </c>
      <c r="AR85" s="70">
        <f>V85/100*(22.6)</f>
        <v>19.994220000000002</v>
      </c>
      <c r="BF85" s="70">
        <f>V85/100*(0.4)</f>
        <v>0.35388000000000003</v>
      </c>
      <c r="BM85" s="70">
        <f>V85/100*(0.55)</f>
        <v>0.48658500000000005</v>
      </c>
    </row>
    <row r="86" spans="1:75" s="70" customFormat="1" x14ac:dyDescent="0.2">
      <c r="A86" s="28" t="s">
        <v>7542</v>
      </c>
      <c r="B86" s="70" t="s">
        <v>2992</v>
      </c>
      <c r="D86" s="70" t="s">
        <v>7683</v>
      </c>
      <c r="E86" s="70" t="s">
        <v>7</v>
      </c>
      <c r="J86" s="70" t="s">
        <v>7367</v>
      </c>
      <c r="K86" s="70">
        <v>2006</v>
      </c>
      <c r="L86" s="70" t="s">
        <v>7368</v>
      </c>
      <c r="M86" s="70" t="s">
        <v>7320</v>
      </c>
      <c r="N86" s="70">
        <v>1.1000000000000001</v>
      </c>
      <c r="V86" s="70">
        <v>96.6</v>
      </c>
      <c r="AD86" s="70">
        <v>16</v>
      </c>
      <c r="AG86" s="70">
        <v>19.899999999999999</v>
      </c>
      <c r="BI86" s="70">
        <v>21</v>
      </c>
      <c r="BJ86" s="70">
        <v>10.1</v>
      </c>
    </row>
    <row r="87" spans="1:75" s="70" customFormat="1" x14ac:dyDescent="0.2">
      <c r="A87" s="28" t="s">
        <v>7543</v>
      </c>
      <c r="B87" s="70" t="s">
        <v>2992</v>
      </c>
      <c r="D87" s="70" t="s">
        <v>7700</v>
      </c>
      <c r="E87" s="70" t="s">
        <v>7</v>
      </c>
      <c r="J87" s="70" t="s">
        <v>7367</v>
      </c>
      <c r="K87" s="70">
        <v>2006</v>
      </c>
      <c r="L87" s="70" t="s">
        <v>7368</v>
      </c>
      <c r="M87" s="70" t="s">
        <v>7320</v>
      </c>
      <c r="N87" s="70">
        <v>1.1000000000000001</v>
      </c>
      <c r="V87" s="70">
        <v>97</v>
      </c>
      <c r="AD87" s="70">
        <v>18</v>
      </c>
      <c r="AG87" s="70">
        <v>14.3</v>
      </c>
      <c r="BI87" s="70">
        <v>24</v>
      </c>
      <c r="BJ87" s="70">
        <v>12</v>
      </c>
    </row>
    <row r="88" spans="1:75" s="70" customFormat="1" x14ac:dyDescent="0.2">
      <c r="A88" s="28" t="s">
        <v>7544</v>
      </c>
      <c r="B88" s="70" t="s">
        <v>2992</v>
      </c>
      <c r="D88" s="70" t="s">
        <v>7701</v>
      </c>
      <c r="E88" s="70" t="s">
        <v>7</v>
      </c>
      <c r="J88" s="70" t="s">
        <v>7367</v>
      </c>
      <c r="K88" s="70">
        <v>2006</v>
      </c>
      <c r="L88" s="70" t="s">
        <v>7368</v>
      </c>
      <c r="M88" s="70" t="s">
        <v>7320</v>
      </c>
      <c r="N88" s="70">
        <v>1.1000000000000001</v>
      </c>
      <c r="V88" s="70">
        <v>69.900000000000006</v>
      </c>
      <c r="AD88" s="70">
        <v>17.7</v>
      </c>
      <c r="AG88" s="70">
        <v>14.1</v>
      </c>
      <c r="BI88" s="70">
        <v>24.1</v>
      </c>
      <c r="BJ88" s="70">
        <v>12.2</v>
      </c>
    </row>
    <row r="89" spans="1:75" s="70" customFormat="1" x14ac:dyDescent="0.2">
      <c r="A89" s="28" t="s">
        <v>7545</v>
      </c>
      <c r="D89" s="70" t="s">
        <v>7298</v>
      </c>
      <c r="E89" s="70" t="s">
        <v>7</v>
      </c>
      <c r="H89" s="70" t="s">
        <v>7369</v>
      </c>
      <c r="J89" s="70" t="s">
        <v>7370</v>
      </c>
      <c r="K89" s="70">
        <v>2007</v>
      </c>
      <c r="L89" s="70" t="s">
        <v>7371</v>
      </c>
      <c r="M89" s="70" t="s">
        <v>7320</v>
      </c>
      <c r="N89" s="70">
        <v>1.1000000000000001</v>
      </c>
      <c r="U89" s="70">
        <v>10.9</v>
      </c>
      <c r="V89" s="70">
        <f>100-U89</f>
        <v>89.1</v>
      </c>
      <c r="BF89" s="70">
        <v>9.6999999999999993</v>
      </c>
      <c r="BM89" s="70">
        <v>0.9</v>
      </c>
      <c r="BO89" s="70">
        <v>165.8</v>
      </c>
      <c r="BR89" s="70">
        <v>3.64</v>
      </c>
      <c r="BW89" s="70">
        <v>290.39999999999998</v>
      </c>
    </row>
    <row r="90" spans="1:75" s="70" customFormat="1" x14ac:dyDescent="0.2">
      <c r="A90" s="28" t="s">
        <v>7546</v>
      </c>
      <c r="D90" s="70" t="s">
        <v>7299</v>
      </c>
      <c r="E90" s="70" t="s">
        <v>7</v>
      </c>
      <c r="H90" s="70" t="s">
        <v>7372</v>
      </c>
      <c r="J90" s="70" t="s">
        <v>7370</v>
      </c>
      <c r="K90" s="70">
        <v>2007</v>
      </c>
      <c r="L90" s="70" t="s">
        <v>7371</v>
      </c>
      <c r="M90" s="70" t="s">
        <v>7320</v>
      </c>
      <c r="N90" s="70">
        <v>1.1000000000000001</v>
      </c>
      <c r="U90" s="70">
        <v>10.7</v>
      </c>
      <c r="V90" s="70">
        <f t="shared" ref="V90:V104" si="8">100-U90</f>
        <v>89.3</v>
      </c>
      <c r="BF90" s="70">
        <v>9.52</v>
      </c>
      <c r="BM90" s="70">
        <v>1</v>
      </c>
      <c r="BO90" s="70">
        <v>169.8</v>
      </c>
      <c r="BR90" s="70">
        <v>6.86</v>
      </c>
      <c r="BW90" s="70">
        <v>215.7</v>
      </c>
    </row>
    <row r="91" spans="1:75" s="70" customFormat="1" x14ac:dyDescent="0.2">
      <c r="A91" s="28" t="s">
        <v>7547</v>
      </c>
      <c r="D91" s="70" t="s">
        <v>7300</v>
      </c>
      <c r="E91" s="70" t="s">
        <v>7</v>
      </c>
      <c r="H91" s="70" t="s">
        <v>7373</v>
      </c>
      <c r="J91" s="70" t="s">
        <v>7370</v>
      </c>
      <c r="K91" s="70">
        <v>2007</v>
      </c>
      <c r="L91" s="70" t="s">
        <v>7371</v>
      </c>
      <c r="M91" s="70" t="s">
        <v>7320</v>
      </c>
      <c r="N91" s="70">
        <v>1.1000000000000001</v>
      </c>
      <c r="U91" s="70">
        <v>8.9</v>
      </c>
      <c r="V91" s="70">
        <f t="shared" si="8"/>
        <v>91.1</v>
      </c>
      <c r="BF91" s="70">
        <v>7.62</v>
      </c>
      <c r="BM91" s="70">
        <v>0.9</v>
      </c>
      <c r="BO91" s="70">
        <v>186.5</v>
      </c>
      <c r="BR91" s="70">
        <v>4.45</v>
      </c>
      <c r="BW91" s="70">
        <v>186.5</v>
      </c>
    </row>
    <row r="92" spans="1:75" s="70" customFormat="1" x14ac:dyDescent="0.2">
      <c r="A92" s="28" t="s">
        <v>7548</v>
      </c>
      <c r="D92" s="70" t="s">
        <v>7301</v>
      </c>
      <c r="E92" s="70" t="s">
        <v>7</v>
      </c>
      <c r="H92" s="70" t="s">
        <v>7374</v>
      </c>
      <c r="J92" s="70" t="s">
        <v>7370</v>
      </c>
      <c r="K92" s="70">
        <v>2007</v>
      </c>
      <c r="L92" s="70" t="s">
        <v>7371</v>
      </c>
      <c r="M92" s="70" t="s">
        <v>7320</v>
      </c>
      <c r="N92" s="70">
        <v>1.1000000000000001</v>
      </c>
      <c r="U92" s="70">
        <v>9.4</v>
      </c>
      <c r="V92" s="70">
        <f t="shared" si="8"/>
        <v>90.6</v>
      </c>
      <c r="BF92" s="70">
        <v>6.67</v>
      </c>
      <c r="BM92" s="70">
        <v>0.5</v>
      </c>
      <c r="BO92" s="70">
        <v>155.6</v>
      </c>
      <c r="BR92" s="70">
        <v>4.4800000000000004</v>
      </c>
      <c r="BW92" s="70">
        <v>135.9</v>
      </c>
    </row>
    <row r="93" spans="1:75" s="70" customFormat="1" x14ac:dyDescent="0.2">
      <c r="A93" s="28" t="s">
        <v>7549</v>
      </c>
      <c r="D93" s="70" t="s">
        <v>7298</v>
      </c>
      <c r="E93" s="70" t="s">
        <v>7</v>
      </c>
      <c r="H93" s="70" t="s">
        <v>7375</v>
      </c>
      <c r="J93" s="70" t="s">
        <v>7370</v>
      </c>
      <c r="K93" s="70">
        <v>2007</v>
      </c>
      <c r="L93" s="70" t="s">
        <v>7371</v>
      </c>
      <c r="M93" s="70" t="s">
        <v>7320</v>
      </c>
      <c r="N93" s="70">
        <v>1.1000000000000001</v>
      </c>
      <c r="U93" s="70">
        <v>10.5</v>
      </c>
      <c r="V93" s="70">
        <f t="shared" si="8"/>
        <v>89.5</v>
      </c>
      <c r="BF93" s="70">
        <v>8.32</v>
      </c>
      <c r="BM93" s="70">
        <v>1</v>
      </c>
      <c r="BO93" s="70">
        <v>157.6</v>
      </c>
      <c r="BR93" s="70">
        <v>4.47</v>
      </c>
      <c r="BW93" s="70">
        <v>260.7</v>
      </c>
    </row>
    <row r="94" spans="1:75" s="70" customFormat="1" x14ac:dyDescent="0.2">
      <c r="A94" s="28" t="s">
        <v>7550</v>
      </c>
      <c r="D94" s="70" t="s">
        <v>7299</v>
      </c>
      <c r="E94" s="70" t="s">
        <v>7</v>
      </c>
      <c r="H94" s="70" t="s">
        <v>7376</v>
      </c>
      <c r="J94" s="70" t="s">
        <v>7370</v>
      </c>
      <c r="K94" s="70">
        <v>2007</v>
      </c>
      <c r="L94" s="70" t="s">
        <v>7371</v>
      </c>
      <c r="M94" s="70" t="s">
        <v>7320</v>
      </c>
      <c r="N94" s="70">
        <v>1.1000000000000001</v>
      </c>
      <c r="U94" s="70">
        <v>11.5</v>
      </c>
      <c r="V94" s="70">
        <f t="shared" si="8"/>
        <v>88.5</v>
      </c>
      <c r="BF94" s="70">
        <v>8.4700000000000006</v>
      </c>
      <c r="BM94" s="70">
        <v>0.9</v>
      </c>
      <c r="BO94" s="70">
        <v>106.5</v>
      </c>
      <c r="BR94" s="70">
        <v>5.93</v>
      </c>
      <c r="BW94" s="70">
        <v>211.6</v>
      </c>
    </row>
    <row r="95" spans="1:75" s="70" customFormat="1" x14ac:dyDescent="0.2">
      <c r="A95" s="28" t="s">
        <v>7551</v>
      </c>
      <c r="D95" s="70" t="s">
        <v>7300</v>
      </c>
      <c r="E95" s="70" t="s">
        <v>7</v>
      </c>
      <c r="H95" s="70" t="s">
        <v>7377</v>
      </c>
      <c r="J95" s="70" t="s">
        <v>7370</v>
      </c>
      <c r="K95" s="70">
        <v>2007</v>
      </c>
      <c r="L95" s="70" t="s">
        <v>7371</v>
      </c>
      <c r="M95" s="70" t="s">
        <v>7320</v>
      </c>
      <c r="N95" s="70">
        <v>1.1000000000000001</v>
      </c>
      <c r="U95" s="70">
        <v>8.9</v>
      </c>
      <c r="V95" s="70">
        <f t="shared" si="8"/>
        <v>91.1</v>
      </c>
      <c r="BF95" s="70">
        <v>6.31</v>
      </c>
      <c r="BM95" s="70">
        <v>0.9</v>
      </c>
      <c r="BO95" s="70">
        <v>135.5</v>
      </c>
      <c r="BR95" s="70">
        <v>6.8</v>
      </c>
      <c r="BW95" s="70">
        <v>164.8</v>
      </c>
    </row>
    <row r="96" spans="1:75" s="70" customFormat="1" x14ac:dyDescent="0.2">
      <c r="A96" s="28" t="s">
        <v>7552</v>
      </c>
      <c r="D96" s="70" t="s">
        <v>7301</v>
      </c>
      <c r="E96" s="70" t="s">
        <v>7</v>
      </c>
      <c r="H96" s="70" t="s">
        <v>7378</v>
      </c>
      <c r="J96" s="70" t="s">
        <v>7370</v>
      </c>
      <c r="K96" s="70">
        <v>2007</v>
      </c>
      <c r="L96" s="70" t="s">
        <v>7371</v>
      </c>
      <c r="M96" s="70" t="s">
        <v>7320</v>
      </c>
      <c r="N96" s="70">
        <v>1.1000000000000001</v>
      </c>
      <c r="U96" s="70">
        <v>9</v>
      </c>
      <c r="V96" s="70">
        <f t="shared" si="8"/>
        <v>91</v>
      </c>
      <c r="BF96" s="70">
        <v>6.42</v>
      </c>
      <c r="BM96" s="70">
        <v>0.4</v>
      </c>
      <c r="BO96" s="70">
        <v>210.9</v>
      </c>
      <c r="BR96" s="70">
        <v>4.33</v>
      </c>
      <c r="BW96" s="70">
        <v>111.8</v>
      </c>
    </row>
    <row r="97" spans="1:228" s="70" customFormat="1" x14ac:dyDescent="0.2">
      <c r="A97" s="28" t="s">
        <v>7553</v>
      </c>
      <c r="D97" s="70" t="s">
        <v>7298</v>
      </c>
      <c r="E97" s="70" t="s">
        <v>7</v>
      </c>
      <c r="H97" s="70" t="s">
        <v>7379</v>
      </c>
      <c r="J97" s="70" t="s">
        <v>7370</v>
      </c>
      <c r="K97" s="70">
        <v>2007</v>
      </c>
      <c r="L97" s="70" t="s">
        <v>7371</v>
      </c>
      <c r="M97" s="70" t="s">
        <v>7320</v>
      </c>
      <c r="N97" s="70">
        <v>1.1000000000000001</v>
      </c>
      <c r="U97" s="70">
        <v>11.2</v>
      </c>
      <c r="V97" s="70">
        <f t="shared" si="8"/>
        <v>88.8</v>
      </c>
      <c r="BF97" s="70">
        <v>9.51</v>
      </c>
      <c r="BM97" s="70">
        <v>1</v>
      </c>
      <c r="BO97" s="70">
        <v>166</v>
      </c>
      <c r="BR97" s="70">
        <v>7.5</v>
      </c>
      <c r="BW97" s="70">
        <v>257.8</v>
      </c>
    </row>
    <row r="98" spans="1:228" s="70" customFormat="1" x14ac:dyDescent="0.2">
      <c r="A98" s="28" t="s">
        <v>7554</v>
      </c>
      <c r="D98" s="70" t="s">
        <v>7299</v>
      </c>
      <c r="E98" s="70" t="s">
        <v>7</v>
      </c>
      <c r="H98" s="70" t="s">
        <v>7380</v>
      </c>
      <c r="J98" s="70" t="s">
        <v>7370</v>
      </c>
      <c r="K98" s="70">
        <v>2007</v>
      </c>
      <c r="L98" s="70" t="s">
        <v>7371</v>
      </c>
      <c r="M98" s="70" t="s">
        <v>7320</v>
      </c>
      <c r="N98" s="70">
        <v>1.1000000000000001</v>
      </c>
      <c r="U98" s="70">
        <v>9.9</v>
      </c>
      <c r="V98" s="70">
        <f t="shared" si="8"/>
        <v>90.1</v>
      </c>
      <c r="BF98" s="70">
        <v>9.5500000000000007</v>
      </c>
      <c r="BM98" s="70">
        <v>1.2</v>
      </c>
      <c r="BO98" s="70">
        <v>136.4</v>
      </c>
      <c r="BR98" s="70">
        <v>6.73</v>
      </c>
      <c r="BW98" s="70">
        <v>221.5</v>
      </c>
    </row>
    <row r="99" spans="1:228" s="70" customFormat="1" x14ac:dyDescent="0.2">
      <c r="A99" s="28" t="s">
        <v>7555</v>
      </c>
      <c r="D99" s="70" t="s">
        <v>7300</v>
      </c>
      <c r="E99" s="70" t="s">
        <v>7</v>
      </c>
      <c r="H99" s="70" t="s">
        <v>7381</v>
      </c>
      <c r="J99" s="70" t="s">
        <v>7370</v>
      </c>
      <c r="K99" s="70">
        <v>2007</v>
      </c>
      <c r="L99" s="70" t="s">
        <v>7371</v>
      </c>
      <c r="M99" s="70" t="s">
        <v>7320</v>
      </c>
      <c r="N99" s="70">
        <v>1.1000000000000001</v>
      </c>
      <c r="U99" s="70">
        <v>9.1999999999999993</v>
      </c>
      <c r="V99" s="70">
        <f t="shared" si="8"/>
        <v>90.8</v>
      </c>
      <c r="BF99" s="70">
        <v>6.22</v>
      </c>
      <c r="BM99" s="70">
        <v>0.9</v>
      </c>
      <c r="BO99" s="70">
        <v>127</v>
      </c>
      <c r="BR99" s="70">
        <v>5.98</v>
      </c>
      <c r="BW99" s="70">
        <v>171.3</v>
      </c>
    </row>
    <row r="100" spans="1:228" s="70" customFormat="1" x14ac:dyDescent="0.2">
      <c r="A100" s="28" t="s">
        <v>7556</v>
      </c>
      <c r="D100" s="70" t="s">
        <v>7301</v>
      </c>
      <c r="E100" s="70" t="s">
        <v>7</v>
      </c>
      <c r="H100" s="70" t="s">
        <v>7382</v>
      </c>
      <c r="J100" s="70" t="s">
        <v>7370</v>
      </c>
      <c r="K100" s="70">
        <v>2007</v>
      </c>
      <c r="L100" s="70" t="s">
        <v>7371</v>
      </c>
      <c r="M100" s="70" t="s">
        <v>7320</v>
      </c>
      <c r="N100" s="70">
        <v>1.1000000000000001</v>
      </c>
      <c r="U100" s="70">
        <v>9.6999999999999993</v>
      </c>
      <c r="V100" s="70">
        <f t="shared" si="8"/>
        <v>90.3</v>
      </c>
      <c r="BF100" s="70">
        <v>5.64</v>
      </c>
      <c r="BM100" s="70">
        <v>1.6</v>
      </c>
      <c r="BO100" s="70">
        <v>176.6</v>
      </c>
      <c r="BR100" s="70">
        <v>4.57</v>
      </c>
      <c r="BW100" s="70">
        <v>130.19999999999999</v>
      </c>
    </row>
    <row r="101" spans="1:228" s="70" customFormat="1" x14ac:dyDescent="0.2">
      <c r="A101" s="28" t="s">
        <v>7557</v>
      </c>
      <c r="D101" s="70" t="s">
        <v>7298</v>
      </c>
      <c r="E101" s="70" t="s">
        <v>7</v>
      </c>
      <c r="H101" s="70" t="s">
        <v>7383</v>
      </c>
      <c r="J101" s="70" t="s">
        <v>7370</v>
      </c>
      <c r="K101" s="70">
        <v>2007</v>
      </c>
      <c r="L101" s="70" t="s">
        <v>7371</v>
      </c>
      <c r="M101" s="70" t="s">
        <v>7320</v>
      </c>
      <c r="N101" s="70">
        <v>1.1000000000000001</v>
      </c>
      <c r="U101" s="70">
        <v>9.6</v>
      </c>
      <c r="V101" s="70">
        <f t="shared" si="8"/>
        <v>90.4</v>
      </c>
      <c r="BF101" s="70">
        <v>11.5</v>
      </c>
      <c r="BM101" s="70">
        <v>1.5</v>
      </c>
      <c r="BO101" s="70">
        <v>150.5</v>
      </c>
      <c r="BR101" s="70">
        <v>4.63</v>
      </c>
      <c r="BW101" s="70">
        <v>430.3</v>
      </c>
    </row>
    <row r="102" spans="1:228" s="70" customFormat="1" x14ac:dyDescent="0.2">
      <c r="A102" s="28" t="s">
        <v>7558</v>
      </c>
      <c r="D102" s="70" t="s">
        <v>7299</v>
      </c>
      <c r="E102" s="70" t="s">
        <v>7</v>
      </c>
      <c r="H102" s="70" t="s">
        <v>7384</v>
      </c>
      <c r="J102" s="70" t="s">
        <v>7370</v>
      </c>
      <c r="K102" s="70">
        <v>2007</v>
      </c>
      <c r="L102" s="70" t="s">
        <v>7371</v>
      </c>
      <c r="M102" s="70" t="s">
        <v>7320</v>
      </c>
      <c r="N102" s="70">
        <v>1.1000000000000001</v>
      </c>
      <c r="U102" s="70">
        <v>11.4</v>
      </c>
      <c r="V102" s="70">
        <f t="shared" si="8"/>
        <v>88.6</v>
      </c>
      <c r="BF102" s="70">
        <v>10.210000000000001</v>
      </c>
      <c r="BM102" s="70">
        <v>0.5</v>
      </c>
      <c r="BO102" s="70">
        <v>155.69999999999999</v>
      </c>
      <c r="BR102" s="70">
        <v>3.38</v>
      </c>
      <c r="BW102" s="70">
        <v>319.5</v>
      </c>
    </row>
    <row r="103" spans="1:228" s="34" customFormat="1" x14ac:dyDescent="0.2">
      <c r="A103" s="28" t="s">
        <v>7559</v>
      </c>
      <c r="D103" s="34" t="s">
        <v>7300</v>
      </c>
      <c r="E103" s="34" t="s">
        <v>7</v>
      </c>
      <c r="H103" s="34" t="s">
        <v>7385</v>
      </c>
      <c r="J103" s="34" t="s">
        <v>7370</v>
      </c>
      <c r="K103" s="34">
        <v>2007</v>
      </c>
      <c r="L103" s="34" t="s">
        <v>7371</v>
      </c>
      <c r="M103" s="34" t="s">
        <v>7320</v>
      </c>
      <c r="N103" s="34">
        <v>1.1000000000000001</v>
      </c>
      <c r="U103" s="34">
        <v>11</v>
      </c>
      <c r="V103" s="34">
        <f t="shared" si="8"/>
        <v>89</v>
      </c>
      <c r="AD103" s="71"/>
      <c r="AF103" s="71"/>
      <c r="AG103" s="71"/>
      <c r="AH103" s="71"/>
      <c r="BF103" s="34">
        <v>7.97</v>
      </c>
      <c r="BM103" s="34">
        <v>0.7</v>
      </c>
      <c r="BO103" s="34">
        <v>145.69999999999999</v>
      </c>
      <c r="BR103" s="34">
        <v>4.21</v>
      </c>
      <c r="BW103" s="34">
        <v>229.7</v>
      </c>
    </row>
    <row r="104" spans="1:228" s="34" customFormat="1" x14ac:dyDescent="0.2">
      <c r="A104" s="28" t="s">
        <v>7560</v>
      </c>
      <c r="D104" s="34" t="s">
        <v>7301</v>
      </c>
      <c r="E104" s="34" t="s">
        <v>7</v>
      </c>
      <c r="H104" s="34" t="s">
        <v>7386</v>
      </c>
      <c r="J104" s="34" t="s">
        <v>7370</v>
      </c>
      <c r="K104" s="34">
        <v>2007</v>
      </c>
      <c r="L104" s="34" t="s">
        <v>7371</v>
      </c>
      <c r="M104" s="34" t="s">
        <v>7320</v>
      </c>
      <c r="N104" s="34">
        <v>1.1000000000000001</v>
      </c>
      <c r="U104" s="34">
        <v>11.2</v>
      </c>
      <c r="V104" s="34">
        <f t="shared" si="8"/>
        <v>88.8</v>
      </c>
      <c r="AD104" s="72"/>
      <c r="AF104" s="71"/>
      <c r="AG104" s="71"/>
      <c r="AH104" s="71"/>
      <c r="BF104" s="34">
        <v>6.47</v>
      </c>
      <c r="BM104" s="34">
        <v>0.5</v>
      </c>
      <c r="BO104" s="34">
        <v>171.8</v>
      </c>
      <c r="BR104" s="34">
        <v>5.21</v>
      </c>
      <c r="BW104" s="34">
        <v>153.6</v>
      </c>
    </row>
    <row r="105" spans="1:228" s="34" customFormat="1" x14ac:dyDescent="0.2">
      <c r="A105" s="28" t="s">
        <v>7561</v>
      </c>
      <c r="D105" s="34" t="s">
        <v>7302</v>
      </c>
      <c r="E105" s="34" t="s">
        <v>7</v>
      </c>
      <c r="H105" s="34" t="s">
        <v>7387</v>
      </c>
      <c r="J105" s="34" t="s">
        <v>7388</v>
      </c>
      <c r="K105" s="34">
        <v>2000</v>
      </c>
      <c r="L105" s="34" t="s">
        <v>7389</v>
      </c>
      <c r="M105" s="34" t="s">
        <v>6201</v>
      </c>
      <c r="N105" s="34">
        <v>1.1000000000000001</v>
      </c>
      <c r="U105" s="12">
        <v>11.9</v>
      </c>
      <c r="AD105" s="71">
        <v>7.2</v>
      </c>
      <c r="AF105" s="71"/>
      <c r="AG105" s="71"/>
      <c r="AH105" s="71"/>
      <c r="BM105" s="34">
        <v>0.7</v>
      </c>
    </row>
    <row r="106" spans="1:228" s="34" customFormat="1" x14ac:dyDescent="0.2">
      <c r="A106" s="28" t="s">
        <v>7562</v>
      </c>
      <c r="D106" s="34" t="s">
        <v>7303</v>
      </c>
      <c r="E106" s="34" t="s">
        <v>7</v>
      </c>
      <c r="H106" s="34" t="s">
        <v>7390</v>
      </c>
      <c r="J106" s="34" t="s">
        <v>7388</v>
      </c>
      <c r="K106" s="34">
        <v>2000</v>
      </c>
      <c r="L106" s="34" t="s">
        <v>7389</v>
      </c>
      <c r="M106" s="34" t="s">
        <v>6201</v>
      </c>
      <c r="N106" s="34">
        <v>1.1000000000000001</v>
      </c>
      <c r="U106" s="12">
        <v>12.8</v>
      </c>
      <c r="AD106" s="71">
        <v>7</v>
      </c>
      <c r="AF106" s="71"/>
      <c r="AG106" s="71"/>
      <c r="AH106" s="71"/>
      <c r="BM106" s="34">
        <v>0.6</v>
      </c>
    </row>
    <row r="107" spans="1:228" s="34" customFormat="1" x14ac:dyDescent="0.2">
      <c r="A107" s="28" t="s">
        <v>7563</v>
      </c>
      <c r="B107" s="34" t="s">
        <v>7654</v>
      </c>
      <c r="D107" s="34" t="s">
        <v>7655</v>
      </c>
      <c r="E107" s="34" t="s">
        <v>7</v>
      </c>
      <c r="G107" s="34" t="s">
        <v>7658</v>
      </c>
      <c r="H107" s="34" t="s">
        <v>7663</v>
      </c>
      <c r="I107" s="34">
        <v>7</v>
      </c>
      <c r="J107" s="34" t="s">
        <v>7659</v>
      </c>
      <c r="K107" s="34">
        <v>1991</v>
      </c>
      <c r="L107" s="34" t="s">
        <v>7660</v>
      </c>
      <c r="M107" s="34" t="s">
        <v>7309</v>
      </c>
      <c r="N107" s="34">
        <v>1.1000000000000001</v>
      </c>
      <c r="O107" s="34" t="s">
        <v>4518</v>
      </c>
      <c r="P107" s="34" t="s">
        <v>4518</v>
      </c>
      <c r="Q107" s="34" t="s">
        <v>4518</v>
      </c>
      <c r="R107" s="34" t="s">
        <v>4518</v>
      </c>
      <c r="S107" s="34" t="s">
        <v>4518</v>
      </c>
      <c r="T107" s="34" t="s">
        <v>4518</v>
      </c>
      <c r="U107" s="34" t="s">
        <v>4518</v>
      </c>
      <c r="V107" s="34" t="s">
        <v>4518</v>
      </c>
      <c r="W107" s="34">
        <v>5.95</v>
      </c>
      <c r="X107" s="34">
        <v>1.62</v>
      </c>
      <c r="Y107" s="34" t="s">
        <v>4518</v>
      </c>
      <c r="Z107" s="34" t="s">
        <v>4518</v>
      </c>
      <c r="AA107" s="34" t="s">
        <v>4518</v>
      </c>
      <c r="AB107" s="34">
        <v>9.64</v>
      </c>
      <c r="AC107" s="34" t="s">
        <v>4518</v>
      </c>
      <c r="AD107" s="71" t="s">
        <v>4518</v>
      </c>
      <c r="AE107" s="34" t="s">
        <v>4518</v>
      </c>
      <c r="AF107" s="71" t="s">
        <v>4518</v>
      </c>
      <c r="AG107" s="71" t="s">
        <v>4518</v>
      </c>
      <c r="AH107" s="71"/>
      <c r="AI107" s="34" t="s">
        <v>4518</v>
      </c>
      <c r="AJ107" s="34" t="s">
        <v>4518</v>
      </c>
      <c r="AK107" s="34" t="s">
        <v>4518</v>
      </c>
      <c r="AL107" s="34" t="s">
        <v>4518</v>
      </c>
      <c r="AM107" s="34" t="s">
        <v>4518</v>
      </c>
      <c r="AN107" s="34" t="s">
        <v>4518</v>
      </c>
      <c r="AO107" s="34" t="s">
        <v>4518</v>
      </c>
      <c r="AP107" s="34" t="s">
        <v>4518</v>
      </c>
      <c r="AQ107" s="34" t="s">
        <v>4518</v>
      </c>
      <c r="AR107" s="34" t="s">
        <v>4518</v>
      </c>
      <c r="AS107" s="34" t="s">
        <v>4518</v>
      </c>
      <c r="AT107" s="34" t="s">
        <v>4518</v>
      </c>
      <c r="AU107" s="34" t="s">
        <v>4518</v>
      </c>
      <c r="AV107" s="34" t="s">
        <v>4518</v>
      </c>
      <c r="AW107" s="34" t="s">
        <v>4518</v>
      </c>
      <c r="AX107" s="34" t="s">
        <v>4518</v>
      </c>
      <c r="AY107" s="34" t="s">
        <v>4518</v>
      </c>
      <c r="AZ107" s="34" t="s">
        <v>4518</v>
      </c>
      <c r="BA107" s="34" t="s">
        <v>4518</v>
      </c>
      <c r="BB107" s="34" t="s">
        <v>4518</v>
      </c>
      <c r="BC107" s="34" t="s">
        <v>4518</v>
      </c>
      <c r="BD107" s="34" t="s">
        <v>4518</v>
      </c>
      <c r="BE107" s="34" t="s">
        <v>4518</v>
      </c>
      <c r="BF107" s="34" t="s">
        <v>4518</v>
      </c>
      <c r="BG107" s="34" t="s">
        <v>4518</v>
      </c>
      <c r="BH107" s="34" t="s">
        <v>4518</v>
      </c>
      <c r="BI107" s="34" t="s">
        <v>4518</v>
      </c>
      <c r="BJ107" s="34" t="s">
        <v>4518</v>
      </c>
      <c r="BK107" s="34" t="s">
        <v>4518</v>
      </c>
      <c r="BL107" s="34" t="s">
        <v>4518</v>
      </c>
      <c r="BM107" s="34">
        <v>1.56</v>
      </c>
      <c r="BN107" s="34" t="s">
        <v>4518</v>
      </c>
      <c r="BO107" s="34">
        <v>10</v>
      </c>
      <c r="BP107" s="34" t="s">
        <v>4518</v>
      </c>
      <c r="BQ107" s="34">
        <v>0.47</v>
      </c>
      <c r="BR107" s="34">
        <v>1.24</v>
      </c>
      <c r="BS107" s="34">
        <v>380</v>
      </c>
      <c r="BT107" s="34">
        <v>1.66</v>
      </c>
      <c r="BU107" s="34">
        <v>130</v>
      </c>
      <c r="BV107" s="34" t="s">
        <v>4518</v>
      </c>
      <c r="BW107" s="34">
        <v>380</v>
      </c>
      <c r="BX107" s="34" t="s">
        <v>4518</v>
      </c>
      <c r="BY107" s="34">
        <v>2.2400000000000002</v>
      </c>
      <c r="BZ107" s="34">
        <v>6000</v>
      </c>
      <c r="CA107" s="34" t="s">
        <v>4518</v>
      </c>
      <c r="CB107" s="34" t="s">
        <v>4518</v>
      </c>
      <c r="CC107" s="34" t="s">
        <v>4518</v>
      </c>
      <c r="CD107" s="34">
        <v>34</v>
      </c>
      <c r="CE107" s="34" t="s">
        <v>4518</v>
      </c>
      <c r="CF107" s="34" t="s">
        <v>4518</v>
      </c>
      <c r="CG107" s="34" t="s">
        <v>4518</v>
      </c>
      <c r="CH107" s="34" t="s">
        <v>4518</v>
      </c>
      <c r="CI107" s="34" t="s">
        <v>4518</v>
      </c>
      <c r="CJ107" s="34" t="s">
        <v>4518</v>
      </c>
      <c r="CK107" s="34" t="s">
        <v>4518</v>
      </c>
      <c r="CL107" s="34">
        <v>150</v>
      </c>
      <c r="CM107" s="34" t="s">
        <v>4518</v>
      </c>
      <c r="CN107" s="34" t="s">
        <v>4518</v>
      </c>
      <c r="CO107" s="34" t="s">
        <v>4518</v>
      </c>
      <c r="CP107" s="34" t="s">
        <v>4518</v>
      </c>
      <c r="CQ107" s="34" t="s">
        <v>4518</v>
      </c>
      <c r="CR107" s="34" t="s">
        <v>4518</v>
      </c>
      <c r="CS107" s="34" t="s">
        <v>4518</v>
      </c>
      <c r="CT107" s="34" t="s">
        <v>4518</v>
      </c>
      <c r="CU107" s="34" t="s">
        <v>4518</v>
      </c>
      <c r="CV107" s="34" t="s">
        <v>4518</v>
      </c>
      <c r="CW107" s="34" t="s">
        <v>4518</v>
      </c>
      <c r="CX107" s="34" t="s">
        <v>4518</v>
      </c>
      <c r="CY107" s="34" t="s">
        <v>4518</v>
      </c>
      <c r="CZ107" s="34" t="s">
        <v>4518</v>
      </c>
      <c r="DA107" s="34" t="s">
        <v>4518</v>
      </c>
      <c r="DB107" s="34" t="s">
        <v>4518</v>
      </c>
      <c r="DC107" s="34" t="s">
        <v>4518</v>
      </c>
      <c r="DD107" s="34" t="s">
        <v>4518</v>
      </c>
      <c r="DE107" s="34" t="s">
        <v>4518</v>
      </c>
      <c r="DF107" s="34" t="s">
        <v>4518</v>
      </c>
      <c r="DG107" s="34" t="s">
        <v>4518</v>
      </c>
      <c r="DH107" s="34" t="s">
        <v>4518</v>
      </c>
      <c r="DI107" s="34" t="s">
        <v>4518</v>
      </c>
      <c r="DJ107" s="34" t="s">
        <v>4518</v>
      </c>
      <c r="DK107" s="34" t="s">
        <v>4518</v>
      </c>
      <c r="DL107" s="34" t="s">
        <v>4518</v>
      </c>
      <c r="DM107" s="34" t="s">
        <v>4518</v>
      </c>
      <c r="DN107" s="34" t="s">
        <v>4518</v>
      </c>
      <c r="DO107" s="34" t="s">
        <v>4518</v>
      </c>
      <c r="DP107" s="34" t="s">
        <v>4518</v>
      </c>
      <c r="DQ107" s="34" t="s">
        <v>4518</v>
      </c>
      <c r="DR107" s="34" t="s">
        <v>4518</v>
      </c>
      <c r="DS107" s="34" t="s">
        <v>4518</v>
      </c>
      <c r="DT107" s="34">
        <v>0.32</v>
      </c>
      <c r="DU107" s="34">
        <v>9.8000000000000004E-2</v>
      </c>
      <c r="DV107" s="34" t="s">
        <v>4518</v>
      </c>
      <c r="DW107" s="34" t="s">
        <v>4518</v>
      </c>
      <c r="DX107" s="34" t="s">
        <v>4518</v>
      </c>
      <c r="DY107" s="34" t="s">
        <v>4518</v>
      </c>
      <c r="DZ107" s="34" t="s">
        <v>4518</v>
      </c>
      <c r="EA107" s="34" t="s">
        <v>4518</v>
      </c>
      <c r="EB107" s="34" t="s">
        <v>4518</v>
      </c>
      <c r="EC107" s="34" t="s">
        <v>4518</v>
      </c>
      <c r="ED107" s="34" t="s">
        <v>4518</v>
      </c>
      <c r="EE107" s="34" t="s">
        <v>4518</v>
      </c>
      <c r="EF107" s="34" t="s">
        <v>4518</v>
      </c>
      <c r="EG107" s="34" t="s">
        <v>4518</v>
      </c>
      <c r="EH107" s="34" t="s">
        <v>4518</v>
      </c>
      <c r="EI107" s="34" t="s">
        <v>4518</v>
      </c>
      <c r="EJ107" s="34" t="s">
        <v>4518</v>
      </c>
      <c r="EK107" s="34" t="s">
        <v>4518</v>
      </c>
      <c r="EL107" s="34" t="s">
        <v>4518</v>
      </c>
      <c r="EM107" s="34" t="s">
        <v>4518</v>
      </c>
      <c r="EN107" s="34" t="s">
        <v>4518</v>
      </c>
      <c r="EO107" s="34" t="s">
        <v>4518</v>
      </c>
      <c r="EP107" s="34" t="s">
        <v>4518</v>
      </c>
      <c r="EQ107" s="34" t="s">
        <v>4518</v>
      </c>
      <c r="ER107" s="34" t="s">
        <v>4518</v>
      </c>
      <c r="ES107" s="34" t="s">
        <v>4518</v>
      </c>
      <c r="ET107" s="34" t="s">
        <v>4518</v>
      </c>
      <c r="EU107" s="34" t="s">
        <v>4518</v>
      </c>
      <c r="EV107" s="34" t="s">
        <v>4518</v>
      </c>
      <c r="EW107" s="34" t="s">
        <v>4518</v>
      </c>
      <c r="EX107" s="34" t="s">
        <v>4518</v>
      </c>
      <c r="EY107" s="34" t="s">
        <v>4518</v>
      </c>
      <c r="EZ107" s="34" t="s">
        <v>4518</v>
      </c>
      <c r="FA107" s="34" t="s">
        <v>4518</v>
      </c>
      <c r="FB107" s="34" t="s">
        <v>4518</v>
      </c>
      <c r="FC107" s="34" t="s">
        <v>4518</v>
      </c>
      <c r="FD107" s="34" t="s">
        <v>4518</v>
      </c>
      <c r="FE107" s="34" t="s">
        <v>4518</v>
      </c>
      <c r="FF107" s="34" t="s">
        <v>4518</v>
      </c>
      <c r="FG107" s="34" t="s">
        <v>4518</v>
      </c>
      <c r="FH107" s="34" t="s">
        <v>4518</v>
      </c>
      <c r="FI107" s="34" t="s">
        <v>4518</v>
      </c>
      <c r="FJ107" s="34" t="s">
        <v>4518</v>
      </c>
      <c r="FK107" s="34" t="s">
        <v>4518</v>
      </c>
      <c r="FL107" s="34" t="s">
        <v>4518</v>
      </c>
      <c r="FM107" s="34" t="s">
        <v>4518</v>
      </c>
      <c r="FN107" s="34" t="s">
        <v>4518</v>
      </c>
      <c r="FO107" s="34" t="s">
        <v>4518</v>
      </c>
      <c r="FP107" s="34" t="s">
        <v>4518</v>
      </c>
      <c r="FQ107" s="34" t="s">
        <v>4518</v>
      </c>
      <c r="FR107" s="34" t="s">
        <v>4518</v>
      </c>
      <c r="FS107" s="34" t="s">
        <v>4518</v>
      </c>
      <c r="FT107" s="34" t="s">
        <v>4518</v>
      </c>
      <c r="FU107" s="34" t="s">
        <v>4518</v>
      </c>
      <c r="FV107" s="34" t="s">
        <v>4518</v>
      </c>
      <c r="FW107" s="34" t="s">
        <v>4518</v>
      </c>
      <c r="FX107" s="34" t="s">
        <v>4518</v>
      </c>
      <c r="FY107" s="34" t="s">
        <v>4518</v>
      </c>
      <c r="FZ107" s="34" t="s">
        <v>4518</v>
      </c>
      <c r="GA107" s="34" t="s">
        <v>4518</v>
      </c>
      <c r="GB107" s="34" t="s">
        <v>4518</v>
      </c>
      <c r="GC107" s="34" t="s">
        <v>4518</v>
      </c>
      <c r="GD107" s="34" t="s">
        <v>4518</v>
      </c>
      <c r="GE107" s="34" t="s">
        <v>4518</v>
      </c>
      <c r="GF107" s="34" t="s">
        <v>4518</v>
      </c>
      <c r="GG107" s="34" t="s">
        <v>4518</v>
      </c>
      <c r="GH107" s="34" t="s">
        <v>4518</v>
      </c>
      <c r="GI107" s="34" t="s">
        <v>4518</v>
      </c>
      <c r="GJ107" s="34" t="s">
        <v>4518</v>
      </c>
      <c r="GK107" s="34" t="s">
        <v>4518</v>
      </c>
      <c r="GL107" s="34" t="s">
        <v>4518</v>
      </c>
      <c r="GM107" s="34" t="s">
        <v>4518</v>
      </c>
      <c r="GN107" s="34" t="s">
        <v>4518</v>
      </c>
      <c r="GO107" s="34" t="s">
        <v>4518</v>
      </c>
      <c r="GP107" s="34" t="s">
        <v>4518</v>
      </c>
      <c r="GQ107" s="34" t="s">
        <v>4518</v>
      </c>
      <c r="GR107" s="34" t="s">
        <v>4518</v>
      </c>
      <c r="GS107" s="34" t="s">
        <v>4518</v>
      </c>
      <c r="GT107" s="34" t="s">
        <v>4518</v>
      </c>
      <c r="GU107" s="34" t="s">
        <v>4518</v>
      </c>
      <c r="GV107" s="34" t="s">
        <v>4518</v>
      </c>
      <c r="GW107" s="34" t="s">
        <v>4518</v>
      </c>
      <c r="GX107" s="34" t="s">
        <v>4518</v>
      </c>
      <c r="GY107" s="34" t="s">
        <v>4518</v>
      </c>
      <c r="GZ107" s="34" t="s">
        <v>4518</v>
      </c>
      <c r="HA107" s="34" t="s">
        <v>4518</v>
      </c>
      <c r="HB107" s="34" t="s">
        <v>4518</v>
      </c>
      <c r="HC107" s="34" t="s">
        <v>4518</v>
      </c>
      <c r="HD107" s="34" t="s">
        <v>4518</v>
      </c>
      <c r="HE107" s="34" t="s">
        <v>4518</v>
      </c>
      <c r="HF107" s="34" t="s">
        <v>4518</v>
      </c>
      <c r="HG107" s="34" t="s">
        <v>4518</v>
      </c>
      <c r="HH107" s="34" t="s">
        <v>4518</v>
      </c>
      <c r="HI107" s="34" t="s">
        <v>4518</v>
      </c>
      <c r="HJ107" s="34" t="s">
        <v>4518</v>
      </c>
      <c r="HK107" s="34" t="s">
        <v>4518</v>
      </c>
      <c r="HL107" s="34" t="s">
        <v>4518</v>
      </c>
      <c r="HM107" s="34" t="s">
        <v>4518</v>
      </c>
      <c r="HN107" s="34" t="s">
        <v>4518</v>
      </c>
      <c r="HO107" s="34" t="s">
        <v>4518</v>
      </c>
      <c r="HP107" s="34">
        <v>41</v>
      </c>
      <c r="HQ107" s="34" t="s">
        <v>4518</v>
      </c>
      <c r="HR107" s="34" t="s">
        <v>4518</v>
      </c>
      <c r="HS107" s="34" t="s">
        <v>4518</v>
      </c>
      <c r="HT107" s="34" t="s">
        <v>4518</v>
      </c>
    </row>
    <row r="108" spans="1:228" s="34" customFormat="1" x14ac:dyDescent="0.2">
      <c r="A108" s="28" t="s">
        <v>7564</v>
      </c>
      <c r="B108" s="34" t="s">
        <v>7654</v>
      </c>
      <c r="D108" s="34" t="s">
        <v>7290</v>
      </c>
      <c r="E108" s="34" t="s">
        <v>7</v>
      </c>
      <c r="G108" s="34" t="s">
        <v>7658</v>
      </c>
      <c r="H108" s="34" t="s">
        <v>7663</v>
      </c>
      <c r="I108" s="34">
        <v>7</v>
      </c>
      <c r="J108" s="34" t="s">
        <v>7659</v>
      </c>
      <c r="K108" s="34">
        <v>1991</v>
      </c>
      <c r="L108" s="34" t="s">
        <v>7660</v>
      </c>
      <c r="M108" s="34" t="s">
        <v>7309</v>
      </c>
      <c r="N108" s="34">
        <v>1.1000000000000001</v>
      </c>
      <c r="O108" s="34" t="s">
        <v>4518</v>
      </c>
      <c r="P108" s="34" t="s">
        <v>4518</v>
      </c>
      <c r="Q108" s="34" t="s">
        <v>4518</v>
      </c>
      <c r="R108" s="34" t="s">
        <v>4518</v>
      </c>
      <c r="S108" s="34" t="s">
        <v>4518</v>
      </c>
      <c r="T108" s="34" t="s">
        <v>4518</v>
      </c>
      <c r="U108" s="34" t="s">
        <v>4518</v>
      </c>
      <c r="V108" s="34" t="s">
        <v>4518</v>
      </c>
      <c r="W108" s="34">
        <v>5.95</v>
      </c>
      <c r="X108" s="34">
        <v>1.48</v>
      </c>
      <c r="Y108" s="34" t="s">
        <v>4518</v>
      </c>
      <c r="Z108" s="34" t="s">
        <v>4518</v>
      </c>
      <c r="AA108" s="34" t="s">
        <v>4518</v>
      </c>
      <c r="AB108" s="34">
        <v>8.81</v>
      </c>
      <c r="AC108" s="34" t="s">
        <v>4518</v>
      </c>
      <c r="AD108" s="71" t="s">
        <v>4518</v>
      </c>
      <c r="AE108" s="34" t="s">
        <v>4518</v>
      </c>
      <c r="AF108" s="71" t="s">
        <v>4518</v>
      </c>
      <c r="AG108" s="71" t="s">
        <v>4518</v>
      </c>
      <c r="AH108" s="71"/>
      <c r="AI108" s="34" t="s">
        <v>4518</v>
      </c>
      <c r="AJ108" s="34" t="s">
        <v>4518</v>
      </c>
      <c r="AK108" s="34" t="s">
        <v>4518</v>
      </c>
      <c r="AL108" s="34" t="s">
        <v>4518</v>
      </c>
      <c r="AM108" s="34" t="s">
        <v>4518</v>
      </c>
      <c r="AN108" s="34" t="s">
        <v>4518</v>
      </c>
      <c r="AO108" s="34" t="s">
        <v>4518</v>
      </c>
      <c r="AP108" s="34" t="s">
        <v>4518</v>
      </c>
      <c r="AQ108" s="34" t="s">
        <v>4518</v>
      </c>
      <c r="AR108" s="34" t="s">
        <v>4518</v>
      </c>
      <c r="AS108" s="34" t="s">
        <v>4518</v>
      </c>
      <c r="AT108" s="34" t="s">
        <v>4518</v>
      </c>
      <c r="AU108" s="34" t="s">
        <v>4518</v>
      </c>
      <c r="AV108" s="34" t="s">
        <v>4518</v>
      </c>
      <c r="AW108" s="34" t="s">
        <v>4518</v>
      </c>
      <c r="AX108" s="34" t="s">
        <v>4518</v>
      </c>
      <c r="AY108" s="34" t="s">
        <v>4518</v>
      </c>
      <c r="AZ108" s="34" t="s">
        <v>4518</v>
      </c>
      <c r="BA108" s="34" t="s">
        <v>4518</v>
      </c>
      <c r="BB108" s="34" t="s">
        <v>4518</v>
      </c>
      <c r="BC108" s="34" t="s">
        <v>4518</v>
      </c>
      <c r="BD108" s="34" t="s">
        <v>4518</v>
      </c>
      <c r="BE108" s="34" t="s">
        <v>4518</v>
      </c>
      <c r="BF108" s="34" t="s">
        <v>4518</v>
      </c>
      <c r="BG108" s="34" t="s">
        <v>4518</v>
      </c>
      <c r="BH108" s="34" t="s">
        <v>4518</v>
      </c>
      <c r="BI108" s="34" t="s">
        <v>4518</v>
      </c>
      <c r="BJ108" s="34" t="s">
        <v>4518</v>
      </c>
      <c r="BK108" s="34" t="s">
        <v>4518</v>
      </c>
      <c r="BL108" s="34" t="s">
        <v>4518</v>
      </c>
      <c r="BM108" s="34">
        <v>0.66</v>
      </c>
      <c r="BN108" s="34" t="s">
        <v>4518</v>
      </c>
      <c r="BO108" s="34">
        <v>6</v>
      </c>
      <c r="BP108" s="34" t="s">
        <v>4518</v>
      </c>
      <c r="BQ108" s="34">
        <v>0.52</v>
      </c>
      <c r="BR108" s="34">
        <v>0.9</v>
      </c>
      <c r="BS108" s="34">
        <v>210</v>
      </c>
      <c r="BT108" s="34">
        <v>0.84</v>
      </c>
      <c r="BU108" s="34">
        <v>58</v>
      </c>
      <c r="BV108" s="34" t="s">
        <v>4518</v>
      </c>
      <c r="BW108" s="34">
        <v>210</v>
      </c>
      <c r="BX108" s="34" t="s">
        <v>4518</v>
      </c>
      <c r="BY108" s="34">
        <v>1.64</v>
      </c>
      <c r="BZ108" s="34">
        <v>6000</v>
      </c>
      <c r="CA108" s="34" t="s">
        <v>4518</v>
      </c>
      <c r="CB108" s="34" t="s">
        <v>4518</v>
      </c>
      <c r="CC108" s="34" t="s">
        <v>4518</v>
      </c>
      <c r="CD108" s="34">
        <v>31</v>
      </c>
      <c r="CE108" s="34" t="s">
        <v>4518</v>
      </c>
      <c r="CF108" s="34" t="s">
        <v>4518</v>
      </c>
      <c r="CG108" s="34" t="s">
        <v>4518</v>
      </c>
      <c r="CH108" s="34" t="s">
        <v>4518</v>
      </c>
      <c r="CI108" s="34" t="s">
        <v>4518</v>
      </c>
      <c r="CJ108" s="34" t="s">
        <v>4518</v>
      </c>
      <c r="CK108" s="34" t="s">
        <v>4518</v>
      </c>
      <c r="CL108" s="34">
        <v>140</v>
      </c>
      <c r="CM108" s="34" t="s">
        <v>4518</v>
      </c>
      <c r="CN108" s="34" t="s">
        <v>4518</v>
      </c>
      <c r="CO108" s="34" t="s">
        <v>4518</v>
      </c>
      <c r="CP108" s="34" t="s">
        <v>4518</v>
      </c>
      <c r="CQ108" s="34" t="s">
        <v>4518</v>
      </c>
      <c r="CR108" s="34" t="s">
        <v>4518</v>
      </c>
      <c r="CS108" s="34" t="s">
        <v>4518</v>
      </c>
      <c r="CT108" s="34" t="s">
        <v>4518</v>
      </c>
      <c r="CU108" s="34" t="s">
        <v>4518</v>
      </c>
      <c r="CV108" s="34" t="s">
        <v>4518</v>
      </c>
      <c r="CW108" s="34" t="s">
        <v>4518</v>
      </c>
      <c r="CX108" s="34" t="s">
        <v>4518</v>
      </c>
      <c r="CY108" s="34" t="s">
        <v>4518</v>
      </c>
      <c r="CZ108" s="34" t="s">
        <v>4518</v>
      </c>
      <c r="DA108" s="34" t="s">
        <v>4518</v>
      </c>
      <c r="DB108" s="34" t="s">
        <v>4518</v>
      </c>
      <c r="DC108" s="34" t="s">
        <v>4518</v>
      </c>
      <c r="DD108" s="34" t="s">
        <v>4518</v>
      </c>
      <c r="DE108" s="34" t="s">
        <v>4518</v>
      </c>
      <c r="DF108" s="34" t="s">
        <v>4518</v>
      </c>
      <c r="DG108" s="34" t="s">
        <v>4518</v>
      </c>
      <c r="DH108" s="34" t="s">
        <v>4518</v>
      </c>
      <c r="DI108" s="34" t="s">
        <v>4518</v>
      </c>
      <c r="DJ108" s="34" t="s">
        <v>4518</v>
      </c>
      <c r="DK108" s="34" t="s">
        <v>4518</v>
      </c>
      <c r="DL108" s="34" t="s">
        <v>4518</v>
      </c>
      <c r="DM108" s="34" t="s">
        <v>4518</v>
      </c>
      <c r="DN108" s="34" t="s">
        <v>4518</v>
      </c>
      <c r="DO108" s="34" t="s">
        <v>4518</v>
      </c>
      <c r="DP108" s="34" t="s">
        <v>4518</v>
      </c>
      <c r="DQ108" s="34" t="s">
        <v>4518</v>
      </c>
      <c r="DR108" s="34" t="s">
        <v>4518</v>
      </c>
      <c r="DS108" s="34" t="s">
        <v>4518</v>
      </c>
      <c r="DT108" s="34">
        <v>4.5999999999999999E-2</v>
      </c>
      <c r="DU108" s="34">
        <v>0.05</v>
      </c>
      <c r="DV108" s="34" t="s">
        <v>4518</v>
      </c>
      <c r="DW108" s="34" t="s">
        <v>4518</v>
      </c>
      <c r="DX108" s="34" t="s">
        <v>4518</v>
      </c>
      <c r="DY108" s="34" t="s">
        <v>4518</v>
      </c>
      <c r="DZ108" s="34" t="s">
        <v>4518</v>
      </c>
      <c r="EA108" s="34" t="s">
        <v>4518</v>
      </c>
      <c r="EB108" s="34" t="s">
        <v>4518</v>
      </c>
      <c r="EC108" s="34" t="s">
        <v>4518</v>
      </c>
      <c r="ED108" s="34" t="s">
        <v>4518</v>
      </c>
      <c r="EE108" s="34" t="s">
        <v>4518</v>
      </c>
      <c r="EF108" s="34" t="s">
        <v>4518</v>
      </c>
      <c r="EG108" s="34" t="s">
        <v>4518</v>
      </c>
      <c r="EH108" s="34" t="s">
        <v>4518</v>
      </c>
      <c r="EI108" s="34" t="s">
        <v>4518</v>
      </c>
      <c r="EJ108" s="34" t="s">
        <v>4518</v>
      </c>
      <c r="EK108" s="34" t="s">
        <v>4518</v>
      </c>
      <c r="EL108" s="34" t="s">
        <v>4518</v>
      </c>
      <c r="EM108" s="34" t="s">
        <v>4518</v>
      </c>
      <c r="EN108" s="34" t="s">
        <v>4518</v>
      </c>
      <c r="EO108" s="34" t="s">
        <v>4518</v>
      </c>
      <c r="EP108" s="34" t="s">
        <v>4518</v>
      </c>
      <c r="EQ108" s="34" t="s">
        <v>4518</v>
      </c>
      <c r="ER108" s="34" t="s">
        <v>4518</v>
      </c>
      <c r="ES108" s="34" t="s">
        <v>4518</v>
      </c>
      <c r="ET108" s="34" t="s">
        <v>4518</v>
      </c>
      <c r="EU108" s="34" t="s">
        <v>4518</v>
      </c>
      <c r="EV108" s="34" t="s">
        <v>4518</v>
      </c>
      <c r="EW108" s="34" t="s">
        <v>4518</v>
      </c>
      <c r="EX108" s="34" t="s">
        <v>4518</v>
      </c>
      <c r="EY108" s="34" t="s">
        <v>4518</v>
      </c>
      <c r="EZ108" s="34" t="s">
        <v>4518</v>
      </c>
      <c r="FA108" s="34" t="s">
        <v>4518</v>
      </c>
      <c r="FB108" s="34" t="s">
        <v>4518</v>
      </c>
      <c r="FC108" s="34" t="s">
        <v>4518</v>
      </c>
      <c r="FD108" s="34" t="s">
        <v>4518</v>
      </c>
      <c r="FE108" s="34" t="s">
        <v>4518</v>
      </c>
      <c r="FF108" s="34" t="s">
        <v>4518</v>
      </c>
      <c r="FG108" s="34" t="s">
        <v>4518</v>
      </c>
      <c r="FH108" s="34" t="s">
        <v>4518</v>
      </c>
      <c r="FI108" s="34" t="s">
        <v>4518</v>
      </c>
      <c r="FJ108" s="34" t="s">
        <v>4518</v>
      </c>
      <c r="FK108" s="34" t="s">
        <v>4518</v>
      </c>
      <c r="FL108" s="34" t="s">
        <v>4518</v>
      </c>
      <c r="FM108" s="34" t="s">
        <v>4518</v>
      </c>
      <c r="FN108" s="34" t="s">
        <v>4518</v>
      </c>
      <c r="FO108" s="34" t="s">
        <v>4518</v>
      </c>
      <c r="FP108" s="34" t="s">
        <v>4518</v>
      </c>
      <c r="FQ108" s="34" t="s">
        <v>4518</v>
      </c>
      <c r="FR108" s="34" t="s">
        <v>4518</v>
      </c>
      <c r="FS108" s="34" t="s">
        <v>4518</v>
      </c>
      <c r="FT108" s="34" t="s">
        <v>4518</v>
      </c>
      <c r="FU108" s="34" t="s">
        <v>4518</v>
      </c>
      <c r="FV108" s="34" t="s">
        <v>4518</v>
      </c>
      <c r="FW108" s="34" t="s">
        <v>4518</v>
      </c>
      <c r="FX108" s="34" t="s">
        <v>4518</v>
      </c>
      <c r="FY108" s="34" t="s">
        <v>4518</v>
      </c>
      <c r="FZ108" s="34" t="s">
        <v>4518</v>
      </c>
      <c r="GA108" s="34" t="s">
        <v>4518</v>
      </c>
      <c r="GB108" s="34" t="s">
        <v>4518</v>
      </c>
      <c r="GC108" s="34" t="s">
        <v>4518</v>
      </c>
      <c r="GD108" s="34" t="s">
        <v>4518</v>
      </c>
      <c r="GE108" s="34" t="s">
        <v>4518</v>
      </c>
      <c r="GF108" s="34" t="s">
        <v>4518</v>
      </c>
      <c r="GG108" s="34" t="s">
        <v>4518</v>
      </c>
      <c r="GH108" s="34" t="s">
        <v>4518</v>
      </c>
      <c r="GI108" s="34" t="s">
        <v>4518</v>
      </c>
      <c r="GJ108" s="34" t="s">
        <v>4518</v>
      </c>
      <c r="GK108" s="34" t="s">
        <v>4518</v>
      </c>
      <c r="GL108" s="34" t="s">
        <v>4518</v>
      </c>
      <c r="GM108" s="34" t="s">
        <v>4518</v>
      </c>
      <c r="GN108" s="34" t="s">
        <v>4518</v>
      </c>
      <c r="GO108" s="34" t="s">
        <v>4518</v>
      </c>
      <c r="GP108" s="34" t="s">
        <v>4518</v>
      </c>
      <c r="GQ108" s="34" t="s">
        <v>4518</v>
      </c>
      <c r="GR108" s="34" t="s">
        <v>4518</v>
      </c>
      <c r="GS108" s="34" t="s">
        <v>4518</v>
      </c>
      <c r="GT108" s="34" t="s">
        <v>4518</v>
      </c>
      <c r="GU108" s="34" t="s">
        <v>4518</v>
      </c>
      <c r="GV108" s="34" t="s">
        <v>4518</v>
      </c>
      <c r="GW108" s="34" t="s">
        <v>4518</v>
      </c>
      <c r="GX108" s="34" t="s">
        <v>4518</v>
      </c>
      <c r="GY108" s="34" t="s">
        <v>4518</v>
      </c>
      <c r="GZ108" s="34" t="s">
        <v>4518</v>
      </c>
      <c r="HA108" s="34" t="s">
        <v>4518</v>
      </c>
      <c r="HB108" s="34" t="s">
        <v>4518</v>
      </c>
      <c r="HC108" s="34" t="s">
        <v>4518</v>
      </c>
      <c r="HD108" s="34" t="s">
        <v>4518</v>
      </c>
      <c r="HE108" s="34" t="s">
        <v>4518</v>
      </c>
      <c r="HF108" s="34" t="s">
        <v>4518</v>
      </c>
      <c r="HG108" s="34" t="s">
        <v>4518</v>
      </c>
      <c r="HH108" s="34" t="s">
        <v>4518</v>
      </c>
      <c r="HI108" s="34" t="s">
        <v>4518</v>
      </c>
      <c r="HJ108" s="34" t="s">
        <v>4518</v>
      </c>
      <c r="HK108" s="34" t="s">
        <v>4518</v>
      </c>
      <c r="HL108" s="34" t="s">
        <v>4518</v>
      </c>
      <c r="HM108" s="34" t="s">
        <v>4518</v>
      </c>
      <c r="HN108" s="34" t="s">
        <v>4518</v>
      </c>
      <c r="HO108" s="34" t="s">
        <v>4518</v>
      </c>
      <c r="HP108" s="34">
        <v>15</v>
      </c>
      <c r="HQ108" s="34" t="s">
        <v>4518</v>
      </c>
      <c r="HR108" s="34" t="s">
        <v>4518</v>
      </c>
      <c r="HS108" s="34" t="s">
        <v>4518</v>
      </c>
      <c r="HT108" s="34" t="s">
        <v>4518</v>
      </c>
    </row>
    <row r="109" spans="1:228" s="34" customFormat="1" x14ac:dyDescent="0.2">
      <c r="A109" s="28" t="s">
        <v>7565</v>
      </c>
      <c r="B109" s="34" t="s">
        <v>7656</v>
      </c>
      <c r="D109" s="34" t="s">
        <v>7655</v>
      </c>
      <c r="E109" s="34" t="s">
        <v>7</v>
      </c>
      <c r="G109" s="34">
        <v>1981</v>
      </c>
      <c r="H109" s="34" t="s">
        <v>7664</v>
      </c>
      <c r="I109" s="34" t="s">
        <v>4518</v>
      </c>
      <c r="J109" s="34" t="s">
        <v>7661</v>
      </c>
      <c r="K109" s="34">
        <v>1987</v>
      </c>
      <c r="L109" s="34" t="s">
        <v>7662</v>
      </c>
      <c r="M109" s="34" t="s">
        <v>7309</v>
      </c>
      <c r="N109" s="34">
        <v>1.1000000000000001</v>
      </c>
      <c r="O109" s="34" t="s">
        <v>4518</v>
      </c>
      <c r="P109" s="34" t="s">
        <v>4518</v>
      </c>
      <c r="Q109" s="34" t="s">
        <v>4518</v>
      </c>
      <c r="R109" s="34" t="s">
        <v>4518</v>
      </c>
      <c r="S109" s="34" t="s">
        <v>4518</v>
      </c>
      <c r="T109" s="34" t="s">
        <v>4518</v>
      </c>
      <c r="U109" s="34" t="s">
        <v>4518</v>
      </c>
      <c r="V109" s="34" t="s">
        <v>4518</v>
      </c>
      <c r="W109" s="34" t="s">
        <v>4518</v>
      </c>
      <c r="X109" s="34" t="s">
        <v>4518</v>
      </c>
      <c r="Y109" s="34" t="s">
        <v>4518</v>
      </c>
      <c r="Z109" s="34" t="s">
        <v>4518</v>
      </c>
      <c r="AA109" s="34" t="s">
        <v>4518</v>
      </c>
      <c r="AB109" s="34" t="s">
        <v>4518</v>
      </c>
      <c r="AC109" s="34" t="s">
        <v>4518</v>
      </c>
      <c r="AD109" s="71">
        <v>9.3000000000000007</v>
      </c>
      <c r="AE109" s="34" t="s">
        <v>4518</v>
      </c>
      <c r="AF109" s="71" t="s">
        <v>4518</v>
      </c>
      <c r="AG109" s="71" t="s">
        <v>4518</v>
      </c>
      <c r="AH109" s="71"/>
      <c r="AI109" s="34" t="s">
        <v>4518</v>
      </c>
      <c r="AJ109" s="34" t="s">
        <v>4518</v>
      </c>
      <c r="AK109" s="34" t="s">
        <v>4518</v>
      </c>
      <c r="AL109" s="34" t="s">
        <v>4518</v>
      </c>
      <c r="AM109" s="34" t="s">
        <v>4518</v>
      </c>
      <c r="AN109" s="34" t="s">
        <v>4518</v>
      </c>
      <c r="AO109" s="34" t="s">
        <v>4518</v>
      </c>
      <c r="AP109" s="34" t="s">
        <v>4518</v>
      </c>
      <c r="AQ109" s="34" t="s">
        <v>4518</v>
      </c>
      <c r="AR109" s="34" t="s">
        <v>4518</v>
      </c>
      <c r="AS109" s="34" t="s">
        <v>4518</v>
      </c>
      <c r="AT109" s="34" t="s">
        <v>4518</v>
      </c>
      <c r="AU109" s="34" t="s">
        <v>4518</v>
      </c>
      <c r="AV109" s="34" t="s">
        <v>4518</v>
      </c>
      <c r="AW109" s="34" t="s">
        <v>4518</v>
      </c>
      <c r="AX109" s="34" t="s">
        <v>4518</v>
      </c>
      <c r="AY109" s="34" t="s">
        <v>4518</v>
      </c>
      <c r="AZ109" s="34" t="s">
        <v>4518</v>
      </c>
      <c r="BA109" s="34" t="s">
        <v>4518</v>
      </c>
      <c r="BB109" s="34" t="s">
        <v>4518</v>
      </c>
      <c r="BC109" s="34" t="s">
        <v>4518</v>
      </c>
      <c r="BD109" s="34" t="s">
        <v>4518</v>
      </c>
      <c r="BE109" s="34" t="s">
        <v>4518</v>
      </c>
      <c r="BF109" s="34" t="s">
        <v>4518</v>
      </c>
      <c r="BG109" s="34" t="s">
        <v>4518</v>
      </c>
      <c r="BH109" s="34" t="s">
        <v>4518</v>
      </c>
      <c r="BI109" s="34" t="s">
        <v>4518</v>
      </c>
      <c r="BJ109" s="34" t="s">
        <v>4518</v>
      </c>
      <c r="BK109" s="34" t="s">
        <v>4518</v>
      </c>
      <c r="BL109" s="34" t="s">
        <v>4518</v>
      </c>
      <c r="BM109" s="34" t="s">
        <v>4518</v>
      </c>
      <c r="BN109" s="34" t="s">
        <v>4518</v>
      </c>
      <c r="BO109" s="34" t="s">
        <v>4518</v>
      </c>
      <c r="BP109" s="34" t="s">
        <v>4518</v>
      </c>
      <c r="BQ109" s="34" t="s">
        <v>4518</v>
      </c>
      <c r="BR109" s="34" t="s">
        <v>4518</v>
      </c>
      <c r="BS109" s="34" t="s">
        <v>4518</v>
      </c>
      <c r="BT109" s="34" t="s">
        <v>4518</v>
      </c>
      <c r="BU109" s="34" t="s">
        <v>4518</v>
      </c>
      <c r="BV109" s="34" t="s">
        <v>4518</v>
      </c>
      <c r="BW109" s="34" t="s">
        <v>4518</v>
      </c>
      <c r="BX109" s="34" t="s">
        <v>4518</v>
      </c>
      <c r="BY109" s="34" t="s">
        <v>4518</v>
      </c>
      <c r="BZ109" s="34" t="s">
        <v>4518</v>
      </c>
      <c r="CA109" s="34" t="s">
        <v>4518</v>
      </c>
      <c r="CB109" s="34" t="s">
        <v>4518</v>
      </c>
      <c r="CC109" s="34" t="s">
        <v>4518</v>
      </c>
      <c r="CD109" s="34" t="s">
        <v>4518</v>
      </c>
      <c r="CE109" s="34" t="s">
        <v>4518</v>
      </c>
      <c r="CF109" s="34" t="s">
        <v>4518</v>
      </c>
      <c r="CG109" s="34" t="s">
        <v>4518</v>
      </c>
      <c r="CH109" s="34" t="s">
        <v>4518</v>
      </c>
      <c r="CI109" s="34" t="s">
        <v>4518</v>
      </c>
      <c r="CJ109" s="34" t="s">
        <v>4518</v>
      </c>
      <c r="CK109" s="34" t="s">
        <v>4518</v>
      </c>
      <c r="CL109" s="34" t="s">
        <v>4518</v>
      </c>
      <c r="CM109" s="34" t="s">
        <v>4518</v>
      </c>
      <c r="CN109" s="34" t="s">
        <v>4518</v>
      </c>
      <c r="CO109" s="34" t="s">
        <v>4518</v>
      </c>
      <c r="CP109" s="34" t="s">
        <v>4518</v>
      </c>
      <c r="CQ109" s="34" t="s">
        <v>4518</v>
      </c>
      <c r="CR109" s="34" t="s">
        <v>4518</v>
      </c>
      <c r="CS109" s="34" t="s">
        <v>4518</v>
      </c>
      <c r="CT109" s="34" t="s">
        <v>4518</v>
      </c>
      <c r="CU109" s="34" t="s">
        <v>4518</v>
      </c>
      <c r="CV109" s="34" t="s">
        <v>4518</v>
      </c>
      <c r="CW109" s="34" t="s">
        <v>4518</v>
      </c>
      <c r="CX109" s="34" t="s">
        <v>4518</v>
      </c>
      <c r="CY109" s="34" t="s">
        <v>4518</v>
      </c>
      <c r="CZ109" s="34" t="s">
        <v>4518</v>
      </c>
      <c r="DA109" s="34" t="s">
        <v>4518</v>
      </c>
      <c r="DB109" s="34" t="s">
        <v>4518</v>
      </c>
      <c r="DC109" s="34" t="s">
        <v>4518</v>
      </c>
      <c r="DD109" s="34" t="s">
        <v>4518</v>
      </c>
      <c r="DE109" s="34" t="s">
        <v>4518</v>
      </c>
      <c r="DF109" s="34" t="s">
        <v>4518</v>
      </c>
      <c r="DG109" s="34" t="s">
        <v>4518</v>
      </c>
      <c r="DH109" s="34" t="s">
        <v>4518</v>
      </c>
      <c r="DI109" s="34" t="s">
        <v>4518</v>
      </c>
      <c r="DJ109" s="34" t="s">
        <v>4518</v>
      </c>
      <c r="DK109" s="34" t="s">
        <v>4518</v>
      </c>
      <c r="DL109" s="34" t="s">
        <v>4518</v>
      </c>
      <c r="DM109" s="34" t="s">
        <v>4518</v>
      </c>
      <c r="DN109" s="34" t="s">
        <v>4518</v>
      </c>
      <c r="DO109" s="34" t="s">
        <v>4518</v>
      </c>
      <c r="DP109" s="34" t="s">
        <v>4518</v>
      </c>
      <c r="DQ109" s="34" t="s">
        <v>4518</v>
      </c>
      <c r="DR109" s="34" t="s">
        <v>4518</v>
      </c>
      <c r="DS109" s="34" t="s">
        <v>4518</v>
      </c>
      <c r="DT109" s="34" t="s">
        <v>4518</v>
      </c>
      <c r="DU109" s="34" t="s">
        <v>4518</v>
      </c>
      <c r="DV109" s="34" t="s">
        <v>4518</v>
      </c>
      <c r="DW109" s="34" t="s">
        <v>4518</v>
      </c>
      <c r="DX109" s="34" t="s">
        <v>4518</v>
      </c>
      <c r="DY109" s="34" t="s">
        <v>4518</v>
      </c>
      <c r="DZ109" s="34" t="s">
        <v>4518</v>
      </c>
      <c r="EA109" s="34" t="s">
        <v>4518</v>
      </c>
      <c r="EB109" s="34" t="s">
        <v>4518</v>
      </c>
      <c r="EC109" s="34" t="s">
        <v>4518</v>
      </c>
      <c r="ED109" s="34" t="s">
        <v>4518</v>
      </c>
      <c r="EE109" s="34" t="s">
        <v>4518</v>
      </c>
      <c r="EF109" s="34" t="s">
        <v>4518</v>
      </c>
      <c r="EG109" s="34" t="s">
        <v>4518</v>
      </c>
      <c r="EH109" s="34" t="s">
        <v>4518</v>
      </c>
      <c r="EI109" s="34" t="s">
        <v>4518</v>
      </c>
      <c r="EJ109" s="34" t="s">
        <v>4518</v>
      </c>
      <c r="EK109" s="34" t="s">
        <v>4518</v>
      </c>
      <c r="EL109" s="34" t="s">
        <v>4518</v>
      </c>
      <c r="EM109" s="34" t="s">
        <v>4518</v>
      </c>
      <c r="EN109" s="34" t="s">
        <v>4518</v>
      </c>
      <c r="EO109" s="34" t="s">
        <v>4518</v>
      </c>
      <c r="EP109" s="34" t="s">
        <v>4518</v>
      </c>
      <c r="EQ109" s="34" t="s">
        <v>4518</v>
      </c>
      <c r="ER109" s="34" t="s">
        <v>4518</v>
      </c>
      <c r="ES109" s="34" t="s">
        <v>4518</v>
      </c>
      <c r="ET109" s="34" t="s">
        <v>4518</v>
      </c>
      <c r="EU109" s="34" t="s">
        <v>4518</v>
      </c>
      <c r="EV109" s="34" t="s">
        <v>4518</v>
      </c>
      <c r="EW109" s="34" t="s">
        <v>4518</v>
      </c>
      <c r="EX109" s="34" t="s">
        <v>4518</v>
      </c>
      <c r="EY109" s="34" t="s">
        <v>4518</v>
      </c>
      <c r="EZ109" s="34" t="s">
        <v>4518</v>
      </c>
      <c r="FA109" s="34" t="s">
        <v>4518</v>
      </c>
      <c r="FB109" s="34" t="s">
        <v>4518</v>
      </c>
      <c r="FC109" s="34" t="s">
        <v>4518</v>
      </c>
      <c r="FD109" s="34" t="s">
        <v>4518</v>
      </c>
      <c r="FE109" s="34" t="s">
        <v>4518</v>
      </c>
      <c r="FF109" s="34" t="s">
        <v>4518</v>
      </c>
      <c r="FG109" s="34" t="s">
        <v>4518</v>
      </c>
      <c r="FH109" s="34" t="s">
        <v>4518</v>
      </c>
      <c r="FI109" s="34" t="s">
        <v>4518</v>
      </c>
      <c r="FJ109" s="34" t="s">
        <v>4518</v>
      </c>
      <c r="FK109" s="34" t="s">
        <v>4518</v>
      </c>
      <c r="FL109" s="34" t="s">
        <v>4518</v>
      </c>
      <c r="FM109" s="34" t="s">
        <v>4518</v>
      </c>
      <c r="FN109" s="34" t="s">
        <v>4518</v>
      </c>
      <c r="FO109" s="34" t="s">
        <v>4518</v>
      </c>
      <c r="FP109" s="34" t="s">
        <v>4518</v>
      </c>
      <c r="FQ109" s="34" t="s">
        <v>4518</v>
      </c>
      <c r="FR109" s="34" t="s">
        <v>4518</v>
      </c>
      <c r="FS109" s="34" t="s">
        <v>4518</v>
      </c>
      <c r="FT109" s="34" t="s">
        <v>4518</v>
      </c>
      <c r="FU109" s="34" t="s">
        <v>4518</v>
      </c>
      <c r="FV109" s="34" t="s">
        <v>4518</v>
      </c>
      <c r="FW109" s="34" t="s">
        <v>4518</v>
      </c>
      <c r="FX109" s="34" t="s">
        <v>4518</v>
      </c>
      <c r="FY109" s="34" t="s">
        <v>4518</v>
      </c>
      <c r="FZ109" s="34" t="s">
        <v>4518</v>
      </c>
      <c r="GA109" s="34" t="s">
        <v>4518</v>
      </c>
      <c r="GB109" s="34" t="s">
        <v>4518</v>
      </c>
      <c r="GC109" s="34" t="s">
        <v>4518</v>
      </c>
      <c r="GD109" s="34" t="s">
        <v>4518</v>
      </c>
      <c r="GE109" s="34" t="s">
        <v>4518</v>
      </c>
      <c r="GF109" s="34" t="s">
        <v>4518</v>
      </c>
      <c r="GG109" s="34" t="s">
        <v>4518</v>
      </c>
      <c r="GH109" s="34" t="s">
        <v>4518</v>
      </c>
      <c r="GI109" s="34" t="s">
        <v>4518</v>
      </c>
      <c r="GJ109" s="34" t="s">
        <v>4518</v>
      </c>
      <c r="GK109" s="34" t="s">
        <v>4518</v>
      </c>
      <c r="GL109" s="34" t="s">
        <v>4518</v>
      </c>
      <c r="GM109" s="34" t="s">
        <v>4518</v>
      </c>
      <c r="GN109" s="34" t="s">
        <v>4518</v>
      </c>
      <c r="GO109" s="34" t="s">
        <v>4518</v>
      </c>
      <c r="GP109" s="34" t="s">
        <v>4518</v>
      </c>
      <c r="GQ109" s="34">
        <v>372</v>
      </c>
      <c r="GR109" s="34" t="s">
        <v>4518</v>
      </c>
      <c r="GS109" s="34" t="s">
        <v>4518</v>
      </c>
      <c r="GT109" s="34" t="s">
        <v>4518</v>
      </c>
      <c r="GU109" s="34" t="s">
        <v>4518</v>
      </c>
      <c r="GV109" s="34" t="s">
        <v>4518</v>
      </c>
      <c r="GW109" s="34" t="s">
        <v>4518</v>
      </c>
      <c r="GX109" s="34" t="s">
        <v>4518</v>
      </c>
      <c r="GY109" s="34" t="s">
        <v>4518</v>
      </c>
      <c r="GZ109" s="34" t="s">
        <v>4518</v>
      </c>
      <c r="HA109" s="34" t="s">
        <v>4518</v>
      </c>
      <c r="HB109" s="34" t="s">
        <v>4518</v>
      </c>
      <c r="HC109" s="34" t="s">
        <v>4518</v>
      </c>
      <c r="HD109" s="34" t="s">
        <v>4518</v>
      </c>
      <c r="HE109" s="34" t="s">
        <v>4518</v>
      </c>
      <c r="HF109" s="34" t="s">
        <v>4518</v>
      </c>
      <c r="HG109" s="34" t="s">
        <v>4518</v>
      </c>
      <c r="HH109" s="34" t="s">
        <v>4518</v>
      </c>
      <c r="HI109" s="34" t="s">
        <v>4518</v>
      </c>
      <c r="HJ109" s="34" t="s">
        <v>4518</v>
      </c>
      <c r="HK109" s="34" t="s">
        <v>4518</v>
      </c>
      <c r="HL109" s="34" t="s">
        <v>4518</v>
      </c>
      <c r="HM109" s="34" t="s">
        <v>4518</v>
      </c>
      <c r="HN109" s="34" t="s">
        <v>4518</v>
      </c>
      <c r="HO109" s="34" t="s">
        <v>4518</v>
      </c>
      <c r="HP109" s="34" t="s">
        <v>4518</v>
      </c>
      <c r="HQ109" s="34" t="s">
        <v>4518</v>
      </c>
      <c r="HR109" s="34" t="s">
        <v>4518</v>
      </c>
      <c r="HS109" s="34" t="s">
        <v>4518</v>
      </c>
      <c r="HT109" s="34" t="s">
        <v>4518</v>
      </c>
    </row>
    <row r="110" spans="1:228" s="34" customFormat="1" x14ac:dyDescent="0.2">
      <c r="A110" s="28" t="s">
        <v>7566</v>
      </c>
      <c r="B110" s="34" t="s">
        <v>7656</v>
      </c>
      <c r="D110" s="34" t="s">
        <v>7655</v>
      </c>
      <c r="E110" s="34" t="s">
        <v>7</v>
      </c>
      <c r="G110" s="34">
        <v>1981</v>
      </c>
      <c r="H110" s="34" t="s">
        <v>7665</v>
      </c>
      <c r="I110" s="34" t="s">
        <v>4518</v>
      </c>
      <c r="J110" s="34" t="s">
        <v>7661</v>
      </c>
      <c r="K110" s="34">
        <v>1987</v>
      </c>
      <c r="L110" s="34" t="s">
        <v>7662</v>
      </c>
      <c r="M110" s="34" t="s">
        <v>7309</v>
      </c>
      <c r="N110" s="34">
        <v>1.1000000000000001</v>
      </c>
      <c r="O110" s="34" t="s">
        <v>4518</v>
      </c>
      <c r="P110" s="34" t="s">
        <v>4518</v>
      </c>
      <c r="Q110" s="34" t="s">
        <v>4518</v>
      </c>
      <c r="R110" s="34" t="s">
        <v>4518</v>
      </c>
      <c r="S110" s="34" t="s">
        <v>4518</v>
      </c>
      <c r="T110" s="34" t="s">
        <v>4518</v>
      </c>
      <c r="U110" s="34" t="s">
        <v>4518</v>
      </c>
      <c r="V110" s="34" t="s">
        <v>4518</v>
      </c>
      <c r="W110" s="34" t="s">
        <v>4518</v>
      </c>
      <c r="X110" s="34" t="s">
        <v>4518</v>
      </c>
      <c r="Y110" s="34" t="s">
        <v>4518</v>
      </c>
      <c r="Z110" s="34" t="s">
        <v>4518</v>
      </c>
      <c r="AA110" s="34" t="s">
        <v>4518</v>
      </c>
      <c r="AB110" s="34" t="s">
        <v>4518</v>
      </c>
      <c r="AC110" s="34" t="s">
        <v>4518</v>
      </c>
      <c r="AD110" s="71">
        <v>9.1999999999999993</v>
      </c>
      <c r="AE110" s="34" t="s">
        <v>4518</v>
      </c>
      <c r="AF110" s="71" t="s">
        <v>4518</v>
      </c>
      <c r="AG110" s="71" t="s">
        <v>4518</v>
      </c>
      <c r="AH110" s="71"/>
      <c r="AI110" s="34" t="s">
        <v>4518</v>
      </c>
      <c r="AJ110" s="34" t="s">
        <v>4518</v>
      </c>
      <c r="AK110" s="34" t="s">
        <v>4518</v>
      </c>
      <c r="AL110" s="34" t="s">
        <v>4518</v>
      </c>
      <c r="AM110" s="34" t="s">
        <v>4518</v>
      </c>
      <c r="AN110" s="34" t="s">
        <v>4518</v>
      </c>
      <c r="AO110" s="34" t="s">
        <v>4518</v>
      </c>
      <c r="AP110" s="34" t="s">
        <v>4518</v>
      </c>
      <c r="AQ110" s="34" t="s">
        <v>4518</v>
      </c>
      <c r="AR110" s="34" t="s">
        <v>4518</v>
      </c>
      <c r="AS110" s="34" t="s">
        <v>4518</v>
      </c>
      <c r="AT110" s="34" t="s">
        <v>4518</v>
      </c>
      <c r="AU110" s="34" t="s">
        <v>4518</v>
      </c>
      <c r="AV110" s="34" t="s">
        <v>4518</v>
      </c>
      <c r="AW110" s="34" t="s">
        <v>4518</v>
      </c>
      <c r="AX110" s="34" t="s">
        <v>4518</v>
      </c>
      <c r="AY110" s="34" t="s">
        <v>4518</v>
      </c>
      <c r="AZ110" s="34" t="s">
        <v>4518</v>
      </c>
      <c r="BA110" s="34" t="s">
        <v>4518</v>
      </c>
      <c r="BB110" s="34" t="s">
        <v>4518</v>
      </c>
      <c r="BC110" s="34" t="s">
        <v>4518</v>
      </c>
      <c r="BD110" s="34" t="s">
        <v>4518</v>
      </c>
      <c r="BE110" s="34" t="s">
        <v>4518</v>
      </c>
      <c r="BF110" s="34" t="s">
        <v>4518</v>
      </c>
      <c r="BG110" s="34" t="s">
        <v>4518</v>
      </c>
      <c r="BH110" s="34" t="s">
        <v>4518</v>
      </c>
      <c r="BI110" s="34" t="s">
        <v>4518</v>
      </c>
      <c r="BJ110" s="34" t="s">
        <v>4518</v>
      </c>
      <c r="BK110" s="34" t="s">
        <v>4518</v>
      </c>
      <c r="BL110" s="34" t="s">
        <v>4518</v>
      </c>
      <c r="BM110" s="34" t="s">
        <v>4518</v>
      </c>
      <c r="BN110" s="34" t="s">
        <v>4518</v>
      </c>
      <c r="BO110" s="34" t="s">
        <v>4518</v>
      </c>
      <c r="BP110" s="34" t="s">
        <v>4518</v>
      </c>
      <c r="BQ110" s="34" t="s">
        <v>4518</v>
      </c>
      <c r="BR110" s="34" t="s">
        <v>4518</v>
      </c>
      <c r="BS110" s="34" t="s">
        <v>4518</v>
      </c>
      <c r="BT110" s="34" t="s">
        <v>4518</v>
      </c>
      <c r="BU110" s="34" t="s">
        <v>4518</v>
      </c>
      <c r="BV110" s="34" t="s">
        <v>4518</v>
      </c>
      <c r="BW110" s="34" t="s">
        <v>4518</v>
      </c>
      <c r="BX110" s="34" t="s">
        <v>4518</v>
      </c>
      <c r="BY110" s="34" t="s">
        <v>4518</v>
      </c>
      <c r="BZ110" s="34" t="s">
        <v>4518</v>
      </c>
      <c r="CA110" s="34" t="s">
        <v>4518</v>
      </c>
      <c r="CB110" s="34" t="s">
        <v>4518</v>
      </c>
      <c r="CC110" s="34" t="s">
        <v>4518</v>
      </c>
      <c r="CD110" s="34" t="s">
        <v>4518</v>
      </c>
      <c r="CE110" s="34" t="s">
        <v>4518</v>
      </c>
      <c r="CF110" s="34" t="s">
        <v>4518</v>
      </c>
      <c r="CG110" s="34" t="s">
        <v>4518</v>
      </c>
      <c r="CH110" s="34" t="s">
        <v>4518</v>
      </c>
      <c r="CI110" s="34" t="s">
        <v>4518</v>
      </c>
      <c r="CJ110" s="34" t="s">
        <v>4518</v>
      </c>
      <c r="CK110" s="34" t="s">
        <v>4518</v>
      </c>
      <c r="CL110" s="34" t="s">
        <v>4518</v>
      </c>
      <c r="CM110" s="34" t="s">
        <v>4518</v>
      </c>
      <c r="CN110" s="34" t="s">
        <v>4518</v>
      </c>
      <c r="CO110" s="34" t="s">
        <v>4518</v>
      </c>
      <c r="CP110" s="34" t="s">
        <v>4518</v>
      </c>
      <c r="CQ110" s="34" t="s">
        <v>4518</v>
      </c>
      <c r="CR110" s="34" t="s">
        <v>4518</v>
      </c>
      <c r="CS110" s="34" t="s">
        <v>4518</v>
      </c>
      <c r="CT110" s="34" t="s">
        <v>4518</v>
      </c>
      <c r="CU110" s="34" t="s">
        <v>4518</v>
      </c>
      <c r="CV110" s="34" t="s">
        <v>4518</v>
      </c>
      <c r="CW110" s="34" t="s">
        <v>4518</v>
      </c>
      <c r="CX110" s="34" t="s">
        <v>4518</v>
      </c>
      <c r="CY110" s="34" t="s">
        <v>4518</v>
      </c>
      <c r="CZ110" s="34" t="s">
        <v>4518</v>
      </c>
      <c r="DA110" s="34" t="s">
        <v>4518</v>
      </c>
      <c r="DB110" s="34" t="s">
        <v>4518</v>
      </c>
      <c r="DC110" s="34" t="s">
        <v>4518</v>
      </c>
      <c r="DD110" s="34" t="s">
        <v>4518</v>
      </c>
      <c r="DE110" s="34" t="s">
        <v>4518</v>
      </c>
      <c r="DF110" s="34" t="s">
        <v>4518</v>
      </c>
      <c r="DG110" s="34" t="s">
        <v>4518</v>
      </c>
      <c r="DH110" s="34" t="s">
        <v>4518</v>
      </c>
      <c r="DI110" s="34" t="s">
        <v>4518</v>
      </c>
      <c r="DJ110" s="34" t="s">
        <v>4518</v>
      </c>
      <c r="DK110" s="34" t="s">
        <v>4518</v>
      </c>
      <c r="DL110" s="34" t="s">
        <v>4518</v>
      </c>
      <c r="DM110" s="34" t="s">
        <v>4518</v>
      </c>
      <c r="DN110" s="34" t="s">
        <v>4518</v>
      </c>
      <c r="DO110" s="34" t="s">
        <v>4518</v>
      </c>
      <c r="DP110" s="34" t="s">
        <v>4518</v>
      </c>
      <c r="DQ110" s="34" t="s">
        <v>4518</v>
      </c>
      <c r="DR110" s="34" t="s">
        <v>4518</v>
      </c>
      <c r="DS110" s="34" t="s">
        <v>4518</v>
      </c>
      <c r="DT110" s="34" t="s">
        <v>4518</v>
      </c>
      <c r="DU110" s="34" t="s">
        <v>4518</v>
      </c>
      <c r="DV110" s="34" t="s">
        <v>4518</v>
      </c>
      <c r="DW110" s="34" t="s">
        <v>4518</v>
      </c>
      <c r="DX110" s="34" t="s">
        <v>4518</v>
      </c>
      <c r="DY110" s="34" t="s">
        <v>4518</v>
      </c>
      <c r="DZ110" s="34" t="s">
        <v>4518</v>
      </c>
      <c r="EA110" s="34" t="s">
        <v>4518</v>
      </c>
      <c r="EB110" s="34" t="s">
        <v>4518</v>
      </c>
      <c r="EC110" s="34" t="s">
        <v>4518</v>
      </c>
      <c r="ED110" s="34" t="s">
        <v>4518</v>
      </c>
      <c r="EE110" s="34" t="s">
        <v>4518</v>
      </c>
      <c r="EF110" s="34" t="s">
        <v>4518</v>
      </c>
      <c r="EG110" s="34" t="s">
        <v>4518</v>
      </c>
      <c r="EH110" s="34" t="s">
        <v>4518</v>
      </c>
      <c r="EI110" s="34" t="s">
        <v>4518</v>
      </c>
      <c r="EJ110" s="34" t="s">
        <v>4518</v>
      </c>
      <c r="EK110" s="34" t="s">
        <v>4518</v>
      </c>
      <c r="EL110" s="34" t="s">
        <v>4518</v>
      </c>
      <c r="EM110" s="34" t="s">
        <v>4518</v>
      </c>
      <c r="EN110" s="34" t="s">
        <v>4518</v>
      </c>
      <c r="EO110" s="34" t="s">
        <v>4518</v>
      </c>
      <c r="EP110" s="34" t="s">
        <v>4518</v>
      </c>
      <c r="EQ110" s="34" t="s">
        <v>4518</v>
      </c>
      <c r="ER110" s="34" t="s">
        <v>4518</v>
      </c>
      <c r="ES110" s="34" t="s">
        <v>4518</v>
      </c>
      <c r="ET110" s="34" t="s">
        <v>4518</v>
      </c>
      <c r="EU110" s="34" t="s">
        <v>4518</v>
      </c>
      <c r="EV110" s="34" t="s">
        <v>4518</v>
      </c>
      <c r="EW110" s="34" t="s">
        <v>4518</v>
      </c>
      <c r="EX110" s="34" t="s">
        <v>4518</v>
      </c>
      <c r="EY110" s="34" t="s">
        <v>4518</v>
      </c>
      <c r="EZ110" s="34" t="s">
        <v>4518</v>
      </c>
      <c r="FA110" s="34" t="s">
        <v>4518</v>
      </c>
      <c r="FB110" s="34" t="s">
        <v>4518</v>
      </c>
      <c r="FC110" s="34" t="s">
        <v>4518</v>
      </c>
      <c r="FD110" s="34" t="s">
        <v>4518</v>
      </c>
      <c r="FE110" s="34" t="s">
        <v>4518</v>
      </c>
      <c r="FF110" s="34" t="s">
        <v>4518</v>
      </c>
      <c r="FG110" s="34" t="s">
        <v>4518</v>
      </c>
      <c r="FH110" s="34" t="s">
        <v>4518</v>
      </c>
      <c r="FI110" s="34" t="s">
        <v>4518</v>
      </c>
      <c r="FJ110" s="34" t="s">
        <v>4518</v>
      </c>
      <c r="FK110" s="34" t="s">
        <v>4518</v>
      </c>
      <c r="FL110" s="34" t="s">
        <v>4518</v>
      </c>
      <c r="FM110" s="34" t="s">
        <v>4518</v>
      </c>
      <c r="FN110" s="34" t="s">
        <v>4518</v>
      </c>
      <c r="FO110" s="34" t="s">
        <v>4518</v>
      </c>
      <c r="FP110" s="34" t="s">
        <v>4518</v>
      </c>
      <c r="FQ110" s="34" t="s">
        <v>4518</v>
      </c>
      <c r="FR110" s="34" t="s">
        <v>4518</v>
      </c>
      <c r="FS110" s="34" t="s">
        <v>4518</v>
      </c>
      <c r="FT110" s="34" t="s">
        <v>4518</v>
      </c>
      <c r="FU110" s="34" t="s">
        <v>4518</v>
      </c>
      <c r="FV110" s="34" t="s">
        <v>4518</v>
      </c>
      <c r="FW110" s="34" t="s">
        <v>4518</v>
      </c>
      <c r="FX110" s="34" t="s">
        <v>4518</v>
      </c>
      <c r="FY110" s="34" t="s">
        <v>4518</v>
      </c>
      <c r="FZ110" s="34" t="s">
        <v>4518</v>
      </c>
      <c r="GA110" s="34" t="s">
        <v>4518</v>
      </c>
      <c r="GB110" s="34" t="s">
        <v>4518</v>
      </c>
      <c r="GC110" s="34" t="s">
        <v>4518</v>
      </c>
      <c r="GD110" s="34" t="s">
        <v>4518</v>
      </c>
      <c r="GE110" s="34" t="s">
        <v>4518</v>
      </c>
      <c r="GF110" s="34" t="s">
        <v>4518</v>
      </c>
      <c r="GG110" s="34" t="s">
        <v>4518</v>
      </c>
      <c r="GH110" s="34" t="s">
        <v>4518</v>
      </c>
      <c r="GI110" s="34" t="s">
        <v>4518</v>
      </c>
      <c r="GJ110" s="34" t="s">
        <v>4518</v>
      </c>
      <c r="GK110" s="34" t="s">
        <v>4518</v>
      </c>
      <c r="GL110" s="34" t="s">
        <v>4518</v>
      </c>
      <c r="GM110" s="34" t="s">
        <v>4518</v>
      </c>
      <c r="GN110" s="34" t="s">
        <v>4518</v>
      </c>
      <c r="GO110" s="34" t="s">
        <v>4518</v>
      </c>
      <c r="GP110" s="34" t="s">
        <v>4518</v>
      </c>
      <c r="GQ110" s="34">
        <v>404.79999999999995</v>
      </c>
      <c r="GR110" s="34" t="s">
        <v>4518</v>
      </c>
      <c r="GS110" s="34" t="s">
        <v>4518</v>
      </c>
      <c r="GT110" s="34" t="s">
        <v>4518</v>
      </c>
      <c r="GU110" s="34" t="s">
        <v>4518</v>
      </c>
      <c r="GV110" s="34" t="s">
        <v>4518</v>
      </c>
      <c r="GW110" s="34" t="s">
        <v>4518</v>
      </c>
      <c r="GX110" s="34" t="s">
        <v>4518</v>
      </c>
      <c r="GY110" s="34" t="s">
        <v>4518</v>
      </c>
      <c r="GZ110" s="34" t="s">
        <v>4518</v>
      </c>
      <c r="HA110" s="34" t="s">
        <v>4518</v>
      </c>
      <c r="HB110" s="34" t="s">
        <v>4518</v>
      </c>
      <c r="HC110" s="34" t="s">
        <v>4518</v>
      </c>
      <c r="HD110" s="34" t="s">
        <v>4518</v>
      </c>
      <c r="HE110" s="34" t="s">
        <v>4518</v>
      </c>
      <c r="HF110" s="34" t="s">
        <v>4518</v>
      </c>
      <c r="HG110" s="34" t="s">
        <v>4518</v>
      </c>
      <c r="HH110" s="34" t="s">
        <v>4518</v>
      </c>
      <c r="HI110" s="34" t="s">
        <v>4518</v>
      </c>
      <c r="HJ110" s="34" t="s">
        <v>4518</v>
      </c>
      <c r="HK110" s="34" t="s">
        <v>4518</v>
      </c>
      <c r="HL110" s="34" t="s">
        <v>4518</v>
      </c>
      <c r="HM110" s="34" t="s">
        <v>4518</v>
      </c>
      <c r="HN110" s="34" t="s">
        <v>4518</v>
      </c>
      <c r="HO110" s="34" t="s">
        <v>4518</v>
      </c>
      <c r="HP110" s="34" t="s">
        <v>4518</v>
      </c>
      <c r="HQ110" s="34" t="s">
        <v>4518</v>
      </c>
      <c r="HR110" s="34" t="s">
        <v>4518</v>
      </c>
      <c r="HS110" s="34" t="s">
        <v>4518</v>
      </c>
      <c r="HT110" s="34" t="s">
        <v>4518</v>
      </c>
    </row>
    <row r="111" spans="1:228" s="34" customFormat="1" x14ac:dyDescent="0.2">
      <c r="A111" s="28" t="s">
        <v>7567</v>
      </c>
      <c r="B111" s="34" t="s">
        <v>7656</v>
      </c>
      <c r="D111" s="34" t="s">
        <v>7655</v>
      </c>
      <c r="E111" s="34" t="s">
        <v>7</v>
      </c>
      <c r="G111" s="34">
        <v>1985</v>
      </c>
      <c r="H111" s="34" t="s">
        <v>7666</v>
      </c>
      <c r="I111" s="34" t="s">
        <v>4518</v>
      </c>
      <c r="J111" s="34" t="s">
        <v>7661</v>
      </c>
      <c r="K111" s="34">
        <v>1987</v>
      </c>
      <c r="L111" s="34" t="s">
        <v>7662</v>
      </c>
      <c r="M111" s="34" t="s">
        <v>7309</v>
      </c>
      <c r="N111" s="34">
        <v>1.1000000000000001</v>
      </c>
      <c r="O111" s="34" t="s">
        <v>4518</v>
      </c>
      <c r="P111" s="34" t="s">
        <v>4518</v>
      </c>
      <c r="Q111" s="34" t="s">
        <v>4518</v>
      </c>
      <c r="R111" s="34" t="s">
        <v>4518</v>
      </c>
      <c r="S111" s="34" t="s">
        <v>4518</v>
      </c>
      <c r="T111" s="34" t="s">
        <v>4518</v>
      </c>
      <c r="U111" s="34" t="s">
        <v>4518</v>
      </c>
      <c r="V111" s="34" t="s">
        <v>4518</v>
      </c>
      <c r="W111" s="34" t="s">
        <v>4518</v>
      </c>
      <c r="X111" s="34" t="s">
        <v>4518</v>
      </c>
      <c r="Y111" s="34" t="s">
        <v>4518</v>
      </c>
      <c r="Z111" s="34" t="s">
        <v>4518</v>
      </c>
      <c r="AA111" s="34" t="s">
        <v>4518</v>
      </c>
      <c r="AB111" s="34" t="s">
        <v>4518</v>
      </c>
      <c r="AC111" s="34" t="s">
        <v>4518</v>
      </c>
      <c r="AD111" s="71">
        <v>8.3000000000000007</v>
      </c>
      <c r="AE111" s="34" t="s">
        <v>4518</v>
      </c>
      <c r="AF111" s="71" t="s">
        <v>4518</v>
      </c>
      <c r="AG111" s="71" t="s">
        <v>4518</v>
      </c>
      <c r="AH111" s="71"/>
      <c r="AI111" s="34" t="s">
        <v>4518</v>
      </c>
      <c r="AJ111" s="34" t="s">
        <v>4518</v>
      </c>
      <c r="AK111" s="34" t="s">
        <v>4518</v>
      </c>
      <c r="AL111" s="34" t="s">
        <v>4518</v>
      </c>
      <c r="AM111" s="34" t="s">
        <v>4518</v>
      </c>
      <c r="AN111" s="34" t="s">
        <v>4518</v>
      </c>
      <c r="AO111" s="34" t="s">
        <v>4518</v>
      </c>
      <c r="AP111" s="34" t="s">
        <v>4518</v>
      </c>
      <c r="AQ111" s="34" t="s">
        <v>4518</v>
      </c>
      <c r="AR111" s="34" t="s">
        <v>4518</v>
      </c>
      <c r="AS111" s="34" t="s">
        <v>4518</v>
      </c>
      <c r="AT111" s="34" t="s">
        <v>4518</v>
      </c>
      <c r="AU111" s="34" t="s">
        <v>4518</v>
      </c>
      <c r="AV111" s="34" t="s">
        <v>4518</v>
      </c>
      <c r="AW111" s="34" t="s">
        <v>4518</v>
      </c>
      <c r="AX111" s="34" t="s">
        <v>4518</v>
      </c>
      <c r="AY111" s="34" t="s">
        <v>4518</v>
      </c>
      <c r="AZ111" s="34" t="s">
        <v>4518</v>
      </c>
      <c r="BA111" s="34" t="s">
        <v>4518</v>
      </c>
      <c r="BB111" s="34" t="s">
        <v>4518</v>
      </c>
      <c r="BC111" s="34" t="s">
        <v>4518</v>
      </c>
      <c r="BD111" s="34" t="s">
        <v>4518</v>
      </c>
      <c r="BE111" s="34" t="s">
        <v>4518</v>
      </c>
      <c r="BF111" s="34" t="s">
        <v>4518</v>
      </c>
      <c r="BG111" s="34" t="s">
        <v>4518</v>
      </c>
      <c r="BH111" s="34" t="s">
        <v>4518</v>
      </c>
      <c r="BI111" s="34" t="s">
        <v>4518</v>
      </c>
      <c r="BJ111" s="34" t="s">
        <v>4518</v>
      </c>
      <c r="BK111" s="34" t="s">
        <v>4518</v>
      </c>
      <c r="BL111" s="34" t="s">
        <v>4518</v>
      </c>
      <c r="BM111" s="34" t="s">
        <v>4518</v>
      </c>
      <c r="BN111" s="34" t="s">
        <v>4518</v>
      </c>
      <c r="BO111" s="34" t="s">
        <v>4518</v>
      </c>
      <c r="BP111" s="34" t="s">
        <v>4518</v>
      </c>
      <c r="BQ111" s="34" t="s">
        <v>4518</v>
      </c>
      <c r="BR111" s="34" t="s">
        <v>4518</v>
      </c>
      <c r="BS111" s="34" t="s">
        <v>4518</v>
      </c>
      <c r="BT111" s="34" t="s">
        <v>4518</v>
      </c>
      <c r="BU111" s="34" t="s">
        <v>4518</v>
      </c>
      <c r="BV111" s="34" t="s">
        <v>4518</v>
      </c>
      <c r="BW111" s="34" t="s">
        <v>4518</v>
      </c>
      <c r="BX111" s="34" t="s">
        <v>4518</v>
      </c>
      <c r="BY111" s="34" t="s">
        <v>4518</v>
      </c>
      <c r="BZ111" s="34" t="s">
        <v>4518</v>
      </c>
      <c r="CA111" s="34" t="s">
        <v>4518</v>
      </c>
      <c r="CB111" s="34" t="s">
        <v>4518</v>
      </c>
      <c r="CC111" s="34" t="s">
        <v>4518</v>
      </c>
      <c r="CD111" s="34" t="s">
        <v>4518</v>
      </c>
      <c r="CE111" s="34" t="s">
        <v>4518</v>
      </c>
      <c r="CF111" s="34" t="s">
        <v>4518</v>
      </c>
      <c r="CG111" s="34" t="s">
        <v>4518</v>
      </c>
      <c r="CH111" s="34" t="s">
        <v>4518</v>
      </c>
      <c r="CI111" s="34" t="s">
        <v>4518</v>
      </c>
      <c r="CJ111" s="34" t="s">
        <v>4518</v>
      </c>
      <c r="CK111" s="34" t="s">
        <v>4518</v>
      </c>
      <c r="CL111" s="34" t="s">
        <v>4518</v>
      </c>
      <c r="CM111" s="34" t="s">
        <v>4518</v>
      </c>
      <c r="CN111" s="34" t="s">
        <v>4518</v>
      </c>
      <c r="CO111" s="34" t="s">
        <v>4518</v>
      </c>
      <c r="CP111" s="34" t="s">
        <v>4518</v>
      </c>
      <c r="CQ111" s="34" t="s">
        <v>4518</v>
      </c>
      <c r="CR111" s="34" t="s">
        <v>4518</v>
      </c>
      <c r="CS111" s="34" t="s">
        <v>4518</v>
      </c>
      <c r="CT111" s="34" t="s">
        <v>4518</v>
      </c>
      <c r="CU111" s="34" t="s">
        <v>4518</v>
      </c>
      <c r="CV111" s="34" t="s">
        <v>4518</v>
      </c>
      <c r="CW111" s="34" t="s">
        <v>4518</v>
      </c>
      <c r="CX111" s="34" t="s">
        <v>4518</v>
      </c>
      <c r="CY111" s="34" t="s">
        <v>4518</v>
      </c>
      <c r="CZ111" s="34" t="s">
        <v>4518</v>
      </c>
      <c r="DA111" s="34" t="s">
        <v>4518</v>
      </c>
      <c r="DB111" s="34" t="s">
        <v>4518</v>
      </c>
      <c r="DC111" s="34" t="s">
        <v>4518</v>
      </c>
      <c r="DD111" s="34" t="s">
        <v>4518</v>
      </c>
      <c r="DE111" s="34" t="s">
        <v>4518</v>
      </c>
      <c r="DF111" s="34" t="s">
        <v>4518</v>
      </c>
      <c r="DG111" s="34" t="s">
        <v>4518</v>
      </c>
      <c r="DH111" s="34" t="s">
        <v>4518</v>
      </c>
      <c r="DI111" s="34" t="s">
        <v>4518</v>
      </c>
      <c r="DJ111" s="34" t="s">
        <v>4518</v>
      </c>
      <c r="DK111" s="34" t="s">
        <v>4518</v>
      </c>
      <c r="DL111" s="34" t="s">
        <v>4518</v>
      </c>
      <c r="DM111" s="34" t="s">
        <v>4518</v>
      </c>
      <c r="DN111" s="34" t="s">
        <v>4518</v>
      </c>
      <c r="DO111" s="34" t="s">
        <v>4518</v>
      </c>
      <c r="DP111" s="34" t="s">
        <v>4518</v>
      </c>
      <c r="DQ111" s="34" t="s">
        <v>4518</v>
      </c>
      <c r="DR111" s="34" t="s">
        <v>4518</v>
      </c>
      <c r="DS111" s="34" t="s">
        <v>4518</v>
      </c>
      <c r="DT111" s="34" t="s">
        <v>4518</v>
      </c>
      <c r="DU111" s="34" t="s">
        <v>4518</v>
      </c>
      <c r="DV111" s="34" t="s">
        <v>4518</v>
      </c>
      <c r="DW111" s="34" t="s">
        <v>4518</v>
      </c>
      <c r="DX111" s="34" t="s">
        <v>4518</v>
      </c>
      <c r="DY111" s="34" t="s">
        <v>4518</v>
      </c>
      <c r="DZ111" s="34" t="s">
        <v>4518</v>
      </c>
      <c r="EA111" s="34" t="s">
        <v>4518</v>
      </c>
      <c r="EB111" s="34" t="s">
        <v>4518</v>
      </c>
      <c r="EC111" s="34" t="s">
        <v>4518</v>
      </c>
      <c r="ED111" s="34" t="s">
        <v>4518</v>
      </c>
      <c r="EE111" s="34" t="s">
        <v>4518</v>
      </c>
      <c r="EF111" s="34" t="s">
        <v>4518</v>
      </c>
      <c r="EG111" s="34" t="s">
        <v>4518</v>
      </c>
      <c r="EH111" s="34" t="s">
        <v>4518</v>
      </c>
      <c r="EI111" s="34" t="s">
        <v>4518</v>
      </c>
      <c r="EJ111" s="34" t="s">
        <v>4518</v>
      </c>
      <c r="EK111" s="34" t="s">
        <v>4518</v>
      </c>
      <c r="EL111" s="34" t="s">
        <v>4518</v>
      </c>
      <c r="EM111" s="34" t="s">
        <v>4518</v>
      </c>
      <c r="EN111" s="34" t="s">
        <v>4518</v>
      </c>
      <c r="EO111" s="34" t="s">
        <v>4518</v>
      </c>
      <c r="EP111" s="34" t="s">
        <v>4518</v>
      </c>
      <c r="EQ111" s="34" t="s">
        <v>4518</v>
      </c>
      <c r="ER111" s="34" t="s">
        <v>4518</v>
      </c>
      <c r="ES111" s="34" t="s">
        <v>4518</v>
      </c>
      <c r="ET111" s="34" t="s">
        <v>4518</v>
      </c>
      <c r="EU111" s="34" t="s">
        <v>4518</v>
      </c>
      <c r="EV111" s="34" t="s">
        <v>4518</v>
      </c>
      <c r="EW111" s="34" t="s">
        <v>4518</v>
      </c>
      <c r="EX111" s="34" t="s">
        <v>4518</v>
      </c>
      <c r="EY111" s="34" t="s">
        <v>4518</v>
      </c>
      <c r="EZ111" s="34" t="s">
        <v>4518</v>
      </c>
      <c r="FA111" s="34" t="s">
        <v>4518</v>
      </c>
      <c r="FB111" s="34" t="s">
        <v>4518</v>
      </c>
      <c r="FC111" s="34" t="s">
        <v>4518</v>
      </c>
      <c r="FD111" s="34" t="s">
        <v>4518</v>
      </c>
      <c r="FE111" s="34" t="s">
        <v>4518</v>
      </c>
      <c r="FF111" s="34" t="s">
        <v>4518</v>
      </c>
      <c r="FG111" s="34" t="s">
        <v>4518</v>
      </c>
      <c r="FH111" s="34" t="s">
        <v>4518</v>
      </c>
      <c r="FI111" s="34" t="s">
        <v>4518</v>
      </c>
      <c r="FJ111" s="34" t="s">
        <v>4518</v>
      </c>
      <c r="FK111" s="34" t="s">
        <v>4518</v>
      </c>
      <c r="FL111" s="34" t="s">
        <v>4518</v>
      </c>
      <c r="FM111" s="34" t="s">
        <v>4518</v>
      </c>
      <c r="FN111" s="34" t="s">
        <v>4518</v>
      </c>
      <c r="FO111" s="34" t="s">
        <v>4518</v>
      </c>
      <c r="FP111" s="34" t="s">
        <v>4518</v>
      </c>
      <c r="FQ111" s="34" t="s">
        <v>4518</v>
      </c>
      <c r="FR111" s="34" t="s">
        <v>4518</v>
      </c>
      <c r="FS111" s="34" t="s">
        <v>4518</v>
      </c>
      <c r="FT111" s="34" t="s">
        <v>4518</v>
      </c>
      <c r="FU111" s="34" t="s">
        <v>4518</v>
      </c>
      <c r="FV111" s="34" t="s">
        <v>4518</v>
      </c>
      <c r="FW111" s="34" t="s">
        <v>4518</v>
      </c>
      <c r="FX111" s="34" t="s">
        <v>4518</v>
      </c>
      <c r="FY111" s="34" t="s">
        <v>4518</v>
      </c>
      <c r="FZ111" s="34" t="s">
        <v>4518</v>
      </c>
      <c r="GA111" s="34" t="s">
        <v>4518</v>
      </c>
      <c r="GB111" s="34" t="s">
        <v>4518</v>
      </c>
      <c r="GC111" s="34" t="s">
        <v>4518</v>
      </c>
      <c r="GD111" s="34" t="s">
        <v>4518</v>
      </c>
      <c r="GE111" s="34" t="s">
        <v>4518</v>
      </c>
      <c r="GF111" s="34" t="s">
        <v>4518</v>
      </c>
      <c r="GG111" s="34" t="s">
        <v>4518</v>
      </c>
      <c r="GH111" s="34" t="s">
        <v>4518</v>
      </c>
      <c r="GI111" s="34" t="s">
        <v>4518</v>
      </c>
      <c r="GJ111" s="34" t="s">
        <v>4518</v>
      </c>
      <c r="GK111" s="34" t="s">
        <v>4518</v>
      </c>
      <c r="GL111" s="34" t="s">
        <v>4518</v>
      </c>
      <c r="GM111" s="34" t="s">
        <v>4518</v>
      </c>
      <c r="GN111" s="34" t="s">
        <v>4518</v>
      </c>
      <c r="GO111" s="34" t="s">
        <v>4518</v>
      </c>
      <c r="GP111" s="34" t="s">
        <v>4518</v>
      </c>
      <c r="GQ111" s="34">
        <v>348.60000000000008</v>
      </c>
      <c r="GR111" s="34" t="s">
        <v>4518</v>
      </c>
      <c r="GS111" s="34" t="s">
        <v>4518</v>
      </c>
      <c r="GT111" s="34" t="s">
        <v>4518</v>
      </c>
      <c r="GU111" s="34" t="s">
        <v>4518</v>
      </c>
      <c r="GV111" s="34" t="s">
        <v>4518</v>
      </c>
      <c r="GW111" s="34" t="s">
        <v>4518</v>
      </c>
      <c r="GX111" s="34" t="s">
        <v>4518</v>
      </c>
      <c r="GY111" s="34" t="s">
        <v>4518</v>
      </c>
      <c r="GZ111" s="34" t="s">
        <v>4518</v>
      </c>
      <c r="HA111" s="34" t="s">
        <v>4518</v>
      </c>
      <c r="HB111" s="34" t="s">
        <v>4518</v>
      </c>
      <c r="HC111" s="34" t="s">
        <v>4518</v>
      </c>
      <c r="HD111" s="34" t="s">
        <v>4518</v>
      </c>
      <c r="HE111" s="34" t="s">
        <v>4518</v>
      </c>
      <c r="HF111" s="34" t="s">
        <v>4518</v>
      </c>
      <c r="HG111" s="34" t="s">
        <v>4518</v>
      </c>
      <c r="HH111" s="34" t="s">
        <v>4518</v>
      </c>
      <c r="HI111" s="34" t="s">
        <v>4518</v>
      </c>
      <c r="HJ111" s="34" t="s">
        <v>4518</v>
      </c>
      <c r="HK111" s="34" t="s">
        <v>4518</v>
      </c>
      <c r="HL111" s="34" t="s">
        <v>4518</v>
      </c>
      <c r="HM111" s="34" t="s">
        <v>4518</v>
      </c>
      <c r="HN111" s="34" t="s">
        <v>4518</v>
      </c>
      <c r="HO111" s="34" t="s">
        <v>4518</v>
      </c>
      <c r="HP111" s="34" t="s">
        <v>4518</v>
      </c>
      <c r="HQ111" s="34" t="s">
        <v>4518</v>
      </c>
      <c r="HR111" s="34" t="s">
        <v>4518</v>
      </c>
      <c r="HS111" s="34" t="s">
        <v>4518</v>
      </c>
      <c r="HT111" s="34" t="s">
        <v>4518</v>
      </c>
    </row>
    <row r="112" spans="1:228" s="34" customFormat="1" x14ac:dyDescent="0.2">
      <c r="A112" s="28" t="s">
        <v>7568</v>
      </c>
      <c r="B112" s="34" t="s">
        <v>7656</v>
      </c>
      <c r="D112" s="34" t="s">
        <v>7655</v>
      </c>
      <c r="E112" s="34" t="s">
        <v>7</v>
      </c>
      <c r="G112" s="34">
        <v>1985</v>
      </c>
      <c r="H112" s="34" t="s">
        <v>7667</v>
      </c>
      <c r="I112" s="34" t="s">
        <v>4518</v>
      </c>
      <c r="J112" s="34" t="s">
        <v>7661</v>
      </c>
      <c r="K112" s="34">
        <v>1987</v>
      </c>
      <c r="L112" s="34" t="s">
        <v>7662</v>
      </c>
      <c r="M112" s="34" t="s">
        <v>7309</v>
      </c>
      <c r="N112" s="34">
        <v>1.1000000000000001</v>
      </c>
      <c r="O112" s="34" t="s">
        <v>4518</v>
      </c>
      <c r="P112" s="34" t="s">
        <v>4518</v>
      </c>
      <c r="Q112" s="34" t="s">
        <v>4518</v>
      </c>
      <c r="R112" s="34" t="s">
        <v>4518</v>
      </c>
      <c r="S112" s="34" t="s">
        <v>4518</v>
      </c>
      <c r="T112" s="34" t="s">
        <v>4518</v>
      </c>
      <c r="U112" s="34" t="s">
        <v>4518</v>
      </c>
      <c r="V112" s="34" t="s">
        <v>4518</v>
      </c>
      <c r="W112" s="34" t="s">
        <v>4518</v>
      </c>
      <c r="X112" s="34" t="s">
        <v>4518</v>
      </c>
      <c r="Y112" s="34" t="s">
        <v>4518</v>
      </c>
      <c r="Z112" s="34" t="s">
        <v>4518</v>
      </c>
      <c r="AA112" s="34" t="s">
        <v>4518</v>
      </c>
      <c r="AB112" s="34" t="s">
        <v>4518</v>
      </c>
      <c r="AC112" s="34" t="s">
        <v>4518</v>
      </c>
      <c r="AD112" s="71">
        <v>8</v>
      </c>
      <c r="AE112" s="34" t="s">
        <v>4518</v>
      </c>
      <c r="AF112" s="71" t="s">
        <v>4518</v>
      </c>
      <c r="AG112" s="71" t="s">
        <v>4518</v>
      </c>
      <c r="AH112" s="71"/>
      <c r="AI112" s="34" t="s">
        <v>4518</v>
      </c>
      <c r="AJ112" s="34" t="s">
        <v>4518</v>
      </c>
      <c r="AK112" s="34" t="s">
        <v>4518</v>
      </c>
      <c r="AL112" s="34" t="s">
        <v>4518</v>
      </c>
      <c r="AM112" s="34" t="s">
        <v>4518</v>
      </c>
      <c r="AN112" s="34" t="s">
        <v>4518</v>
      </c>
      <c r="AO112" s="34" t="s">
        <v>4518</v>
      </c>
      <c r="AP112" s="34" t="s">
        <v>4518</v>
      </c>
      <c r="AQ112" s="34" t="s">
        <v>4518</v>
      </c>
      <c r="AR112" s="34" t="s">
        <v>4518</v>
      </c>
      <c r="AS112" s="34" t="s">
        <v>4518</v>
      </c>
      <c r="AT112" s="34" t="s">
        <v>4518</v>
      </c>
      <c r="AU112" s="34" t="s">
        <v>4518</v>
      </c>
      <c r="AV112" s="34" t="s">
        <v>4518</v>
      </c>
      <c r="AW112" s="34" t="s">
        <v>4518</v>
      </c>
      <c r="AX112" s="34" t="s">
        <v>4518</v>
      </c>
      <c r="AY112" s="34" t="s">
        <v>4518</v>
      </c>
      <c r="AZ112" s="34" t="s">
        <v>4518</v>
      </c>
      <c r="BA112" s="34" t="s">
        <v>4518</v>
      </c>
      <c r="BB112" s="34" t="s">
        <v>4518</v>
      </c>
      <c r="BC112" s="34" t="s">
        <v>4518</v>
      </c>
      <c r="BD112" s="34" t="s">
        <v>4518</v>
      </c>
      <c r="BE112" s="34" t="s">
        <v>4518</v>
      </c>
      <c r="BF112" s="34" t="s">
        <v>4518</v>
      </c>
      <c r="BG112" s="34" t="s">
        <v>4518</v>
      </c>
      <c r="BH112" s="34" t="s">
        <v>4518</v>
      </c>
      <c r="BI112" s="34" t="s">
        <v>4518</v>
      </c>
      <c r="BJ112" s="34" t="s">
        <v>4518</v>
      </c>
      <c r="BK112" s="34" t="s">
        <v>4518</v>
      </c>
      <c r="BL112" s="34" t="s">
        <v>4518</v>
      </c>
      <c r="BM112" s="34" t="s">
        <v>4518</v>
      </c>
      <c r="BN112" s="34" t="s">
        <v>4518</v>
      </c>
      <c r="BO112" s="34" t="s">
        <v>4518</v>
      </c>
      <c r="BP112" s="34" t="s">
        <v>4518</v>
      </c>
      <c r="BQ112" s="34" t="s">
        <v>4518</v>
      </c>
      <c r="BR112" s="34" t="s">
        <v>4518</v>
      </c>
      <c r="BS112" s="34" t="s">
        <v>4518</v>
      </c>
      <c r="BT112" s="34" t="s">
        <v>4518</v>
      </c>
      <c r="BU112" s="34" t="s">
        <v>4518</v>
      </c>
      <c r="BV112" s="34" t="s">
        <v>4518</v>
      </c>
      <c r="BW112" s="34" t="s">
        <v>4518</v>
      </c>
      <c r="BX112" s="34" t="s">
        <v>4518</v>
      </c>
      <c r="BY112" s="34" t="s">
        <v>4518</v>
      </c>
      <c r="BZ112" s="34" t="s">
        <v>4518</v>
      </c>
      <c r="CA112" s="34" t="s">
        <v>4518</v>
      </c>
      <c r="CB112" s="34" t="s">
        <v>4518</v>
      </c>
      <c r="CC112" s="34" t="s">
        <v>4518</v>
      </c>
      <c r="CD112" s="34" t="s">
        <v>4518</v>
      </c>
      <c r="CE112" s="34" t="s">
        <v>4518</v>
      </c>
      <c r="CF112" s="34" t="s">
        <v>4518</v>
      </c>
      <c r="CG112" s="34" t="s">
        <v>4518</v>
      </c>
      <c r="CH112" s="34" t="s">
        <v>4518</v>
      </c>
      <c r="CI112" s="34" t="s">
        <v>4518</v>
      </c>
      <c r="CJ112" s="34" t="s">
        <v>4518</v>
      </c>
      <c r="CK112" s="34" t="s">
        <v>4518</v>
      </c>
      <c r="CL112" s="34" t="s">
        <v>4518</v>
      </c>
      <c r="CM112" s="34" t="s">
        <v>4518</v>
      </c>
      <c r="CN112" s="34" t="s">
        <v>4518</v>
      </c>
      <c r="CO112" s="34" t="s">
        <v>4518</v>
      </c>
      <c r="CP112" s="34" t="s">
        <v>4518</v>
      </c>
      <c r="CQ112" s="34" t="s">
        <v>4518</v>
      </c>
      <c r="CR112" s="34" t="s">
        <v>4518</v>
      </c>
      <c r="CS112" s="34" t="s">
        <v>4518</v>
      </c>
      <c r="CT112" s="34" t="s">
        <v>4518</v>
      </c>
      <c r="CU112" s="34" t="s">
        <v>4518</v>
      </c>
      <c r="CV112" s="34" t="s">
        <v>4518</v>
      </c>
      <c r="CW112" s="34" t="s">
        <v>4518</v>
      </c>
      <c r="CX112" s="34" t="s">
        <v>4518</v>
      </c>
      <c r="CY112" s="34" t="s">
        <v>4518</v>
      </c>
      <c r="CZ112" s="34" t="s">
        <v>4518</v>
      </c>
      <c r="DA112" s="34" t="s">
        <v>4518</v>
      </c>
      <c r="DB112" s="34" t="s">
        <v>4518</v>
      </c>
      <c r="DC112" s="34" t="s">
        <v>4518</v>
      </c>
      <c r="DD112" s="34" t="s">
        <v>4518</v>
      </c>
      <c r="DE112" s="34" t="s">
        <v>4518</v>
      </c>
      <c r="DF112" s="34" t="s">
        <v>4518</v>
      </c>
      <c r="DG112" s="34" t="s">
        <v>4518</v>
      </c>
      <c r="DH112" s="34" t="s">
        <v>4518</v>
      </c>
      <c r="DI112" s="34" t="s">
        <v>4518</v>
      </c>
      <c r="DJ112" s="34" t="s">
        <v>4518</v>
      </c>
      <c r="DK112" s="34" t="s">
        <v>4518</v>
      </c>
      <c r="DL112" s="34" t="s">
        <v>4518</v>
      </c>
      <c r="DM112" s="34" t="s">
        <v>4518</v>
      </c>
      <c r="DN112" s="34" t="s">
        <v>4518</v>
      </c>
      <c r="DO112" s="34" t="s">
        <v>4518</v>
      </c>
      <c r="DP112" s="34" t="s">
        <v>4518</v>
      </c>
      <c r="DQ112" s="34" t="s">
        <v>4518</v>
      </c>
      <c r="DR112" s="34" t="s">
        <v>4518</v>
      </c>
      <c r="DS112" s="34" t="s">
        <v>4518</v>
      </c>
      <c r="DT112" s="34" t="s">
        <v>4518</v>
      </c>
      <c r="DU112" s="34" t="s">
        <v>4518</v>
      </c>
      <c r="DV112" s="34" t="s">
        <v>4518</v>
      </c>
      <c r="DW112" s="34" t="s">
        <v>4518</v>
      </c>
      <c r="DX112" s="34" t="s">
        <v>4518</v>
      </c>
      <c r="DY112" s="34" t="s">
        <v>4518</v>
      </c>
      <c r="DZ112" s="34" t="s">
        <v>4518</v>
      </c>
      <c r="EA112" s="34" t="s">
        <v>4518</v>
      </c>
      <c r="EB112" s="34" t="s">
        <v>4518</v>
      </c>
      <c r="EC112" s="34" t="s">
        <v>4518</v>
      </c>
      <c r="ED112" s="34" t="s">
        <v>4518</v>
      </c>
      <c r="EE112" s="34" t="s">
        <v>4518</v>
      </c>
      <c r="EF112" s="34" t="s">
        <v>4518</v>
      </c>
      <c r="EG112" s="34" t="s">
        <v>4518</v>
      </c>
      <c r="EH112" s="34" t="s">
        <v>4518</v>
      </c>
      <c r="EI112" s="34" t="s">
        <v>4518</v>
      </c>
      <c r="EJ112" s="34" t="s">
        <v>4518</v>
      </c>
      <c r="EK112" s="34" t="s">
        <v>4518</v>
      </c>
      <c r="EL112" s="34" t="s">
        <v>4518</v>
      </c>
      <c r="EM112" s="34" t="s">
        <v>4518</v>
      </c>
      <c r="EN112" s="34" t="s">
        <v>4518</v>
      </c>
      <c r="EO112" s="34" t="s">
        <v>4518</v>
      </c>
      <c r="EP112" s="34" t="s">
        <v>4518</v>
      </c>
      <c r="EQ112" s="34" t="s">
        <v>4518</v>
      </c>
      <c r="ER112" s="34" t="s">
        <v>4518</v>
      </c>
      <c r="ES112" s="34" t="s">
        <v>4518</v>
      </c>
      <c r="ET112" s="34" t="s">
        <v>4518</v>
      </c>
      <c r="EU112" s="34" t="s">
        <v>4518</v>
      </c>
      <c r="EV112" s="34" t="s">
        <v>4518</v>
      </c>
      <c r="EW112" s="34" t="s">
        <v>4518</v>
      </c>
      <c r="EX112" s="34" t="s">
        <v>4518</v>
      </c>
      <c r="EY112" s="34" t="s">
        <v>4518</v>
      </c>
      <c r="EZ112" s="34" t="s">
        <v>4518</v>
      </c>
      <c r="FA112" s="34" t="s">
        <v>4518</v>
      </c>
      <c r="FB112" s="34" t="s">
        <v>4518</v>
      </c>
      <c r="FC112" s="34" t="s">
        <v>4518</v>
      </c>
      <c r="FD112" s="34" t="s">
        <v>4518</v>
      </c>
      <c r="FE112" s="34" t="s">
        <v>4518</v>
      </c>
      <c r="FF112" s="34" t="s">
        <v>4518</v>
      </c>
      <c r="FG112" s="34" t="s">
        <v>4518</v>
      </c>
      <c r="FH112" s="34" t="s">
        <v>4518</v>
      </c>
      <c r="FI112" s="34" t="s">
        <v>4518</v>
      </c>
      <c r="FJ112" s="34" t="s">
        <v>4518</v>
      </c>
      <c r="FK112" s="34" t="s">
        <v>4518</v>
      </c>
      <c r="FL112" s="34" t="s">
        <v>4518</v>
      </c>
      <c r="FM112" s="34" t="s">
        <v>4518</v>
      </c>
      <c r="FN112" s="34" t="s">
        <v>4518</v>
      </c>
      <c r="FO112" s="34" t="s">
        <v>4518</v>
      </c>
      <c r="FP112" s="34" t="s">
        <v>4518</v>
      </c>
      <c r="FQ112" s="34" t="s">
        <v>4518</v>
      </c>
      <c r="FR112" s="34" t="s">
        <v>4518</v>
      </c>
      <c r="FS112" s="34" t="s">
        <v>4518</v>
      </c>
      <c r="FT112" s="34" t="s">
        <v>4518</v>
      </c>
      <c r="FU112" s="34" t="s">
        <v>4518</v>
      </c>
      <c r="FV112" s="34" t="s">
        <v>4518</v>
      </c>
      <c r="FW112" s="34" t="s">
        <v>4518</v>
      </c>
      <c r="FX112" s="34" t="s">
        <v>4518</v>
      </c>
      <c r="FY112" s="34" t="s">
        <v>4518</v>
      </c>
      <c r="FZ112" s="34" t="s">
        <v>4518</v>
      </c>
      <c r="GA112" s="34" t="s">
        <v>4518</v>
      </c>
      <c r="GB112" s="34" t="s">
        <v>4518</v>
      </c>
      <c r="GC112" s="34" t="s">
        <v>4518</v>
      </c>
      <c r="GD112" s="34" t="s">
        <v>4518</v>
      </c>
      <c r="GE112" s="34" t="s">
        <v>4518</v>
      </c>
      <c r="GF112" s="34" t="s">
        <v>4518</v>
      </c>
      <c r="GG112" s="34" t="s">
        <v>4518</v>
      </c>
      <c r="GH112" s="34" t="s">
        <v>4518</v>
      </c>
      <c r="GI112" s="34" t="s">
        <v>4518</v>
      </c>
      <c r="GJ112" s="34" t="s">
        <v>4518</v>
      </c>
      <c r="GK112" s="34" t="s">
        <v>4518</v>
      </c>
      <c r="GL112" s="34" t="s">
        <v>4518</v>
      </c>
      <c r="GM112" s="34" t="s">
        <v>4518</v>
      </c>
      <c r="GN112" s="34" t="s">
        <v>4518</v>
      </c>
      <c r="GO112" s="34" t="s">
        <v>4518</v>
      </c>
      <c r="GP112" s="34" t="s">
        <v>4518</v>
      </c>
      <c r="GQ112" s="34">
        <v>344</v>
      </c>
      <c r="GR112" s="34" t="s">
        <v>4518</v>
      </c>
      <c r="GS112" s="34" t="s">
        <v>4518</v>
      </c>
      <c r="GT112" s="34" t="s">
        <v>4518</v>
      </c>
      <c r="GU112" s="34" t="s">
        <v>4518</v>
      </c>
      <c r="GV112" s="34" t="s">
        <v>4518</v>
      </c>
      <c r="GW112" s="34" t="s">
        <v>4518</v>
      </c>
      <c r="GX112" s="34" t="s">
        <v>4518</v>
      </c>
      <c r="GY112" s="34" t="s">
        <v>4518</v>
      </c>
      <c r="GZ112" s="34" t="s">
        <v>4518</v>
      </c>
      <c r="HA112" s="34" t="s">
        <v>4518</v>
      </c>
      <c r="HB112" s="34" t="s">
        <v>4518</v>
      </c>
      <c r="HC112" s="34" t="s">
        <v>4518</v>
      </c>
      <c r="HD112" s="34" t="s">
        <v>4518</v>
      </c>
      <c r="HE112" s="34" t="s">
        <v>4518</v>
      </c>
      <c r="HF112" s="34" t="s">
        <v>4518</v>
      </c>
      <c r="HG112" s="34" t="s">
        <v>4518</v>
      </c>
      <c r="HH112" s="34" t="s">
        <v>4518</v>
      </c>
      <c r="HI112" s="34" t="s">
        <v>4518</v>
      </c>
      <c r="HJ112" s="34" t="s">
        <v>4518</v>
      </c>
      <c r="HK112" s="34" t="s">
        <v>4518</v>
      </c>
      <c r="HL112" s="34" t="s">
        <v>4518</v>
      </c>
      <c r="HM112" s="34" t="s">
        <v>4518</v>
      </c>
      <c r="HN112" s="34" t="s">
        <v>4518</v>
      </c>
      <c r="HO112" s="34" t="s">
        <v>4518</v>
      </c>
      <c r="HP112" s="34" t="s">
        <v>4518</v>
      </c>
      <c r="HQ112" s="34" t="s">
        <v>4518</v>
      </c>
      <c r="HR112" s="34" t="s">
        <v>4518</v>
      </c>
      <c r="HS112" s="34" t="s">
        <v>4518</v>
      </c>
      <c r="HT112" s="34" t="s">
        <v>4518</v>
      </c>
    </row>
    <row r="113" spans="1:228" s="34" customFormat="1" x14ac:dyDescent="0.2">
      <c r="A113" s="28" t="s">
        <v>7569</v>
      </c>
      <c r="B113" s="34" t="s">
        <v>7657</v>
      </c>
      <c r="D113" s="34" t="s">
        <v>7655</v>
      </c>
      <c r="E113" s="34" t="s">
        <v>7</v>
      </c>
      <c r="G113" s="34" t="s">
        <v>4518</v>
      </c>
      <c r="H113" s="34" t="s">
        <v>7668</v>
      </c>
      <c r="I113" s="34" t="s">
        <v>4518</v>
      </c>
      <c r="J113" s="34" t="s">
        <v>7661</v>
      </c>
      <c r="K113" s="34">
        <v>1987</v>
      </c>
      <c r="L113" s="34" t="s">
        <v>7662</v>
      </c>
      <c r="M113" s="34" t="s">
        <v>7309</v>
      </c>
      <c r="N113" s="34">
        <v>1.1000000000000001</v>
      </c>
      <c r="O113" s="34" t="s">
        <v>4518</v>
      </c>
      <c r="P113" s="34" t="s">
        <v>4518</v>
      </c>
      <c r="Q113" s="34" t="s">
        <v>4518</v>
      </c>
      <c r="R113" s="34" t="s">
        <v>4518</v>
      </c>
      <c r="S113" s="34" t="s">
        <v>4518</v>
      </c>
      <c r="T113" s="34" t="s">
        <v>4518</v>
      </c>
      <c r="U113" s="34" t="s">
        <v>4518</v>
      </c>
      <c r="V113" s="34" t="s">
        <v>4518</v>
      </c>
      <c r="W113" s="34" t="s">
        <v>4518</v>
      </c>
      <c r="X113" s="34" t="s">
        <v>4518</v>
      </c>
      <c r="Y113" s="34" t="s">
        <v>4518</v>
      </c>
      <c r="Z113" s="34" t="s">
        <v>4518</v>
      </c>
      <c r="AA113" s="34" t="s">
        <v>4518</v>
      </c>
      <c r="AB113" s="34" t="s">
        <v>4518</v>
      </c>
      <c r="AC113" s="34" t="s">
        <v>4518</v>
      </c>
      <c r="AD113" s="71">
        <v>10.4</v>
      </c>
      <c r="AE113" s="34" t="s">
        <v>4518</v>
      </c>
      <c r="AF113" s="71" t="s">
        <v>4518</v>
      </c>
      <c r="AG113" s="71" t="s">
        <v>4518</v>
      </c>
      <c r="AH113" s="71"/>
      <c r="AI113" s="34" t="s">
        <v>4518</v>
      </c>
      <c r="AJ113" s="34" t="s">
        <v>4518</v>
      </c>
      <c r="AK113" s="34" t="s">
        <v>4518</v>
      </c>
      <c r="AL113" s="34" t="s">
        <v>4518</v>
      </c>
      <c r="AM113" s="34" t="s">
        <v>4518</v>
      </c>
      <c r="AN113" s="34" t="s">
        <v>4518</v>
      </c>
      <c r="AO113" s="34" t="s">
        <v>4518</v>
      </c>
      <c r="AP113" s="34" t="s">
        <v>4518</v>
      </c>
      <c r="AQ113" s="34" t="s">
        <v>4518</v>
      </c>
      <c r="AR113" s="34" t="s">
        <v>4518</v>
      </c>
      <c r="AS113" s="34" t="s">
        <v>4518</v>
      </c>
      <c r="AT113" s="34" t="s">
        <v>4518</v>
      </c>
      <c r="AU113" s="34" t="s">
        <v>4518</v>
      </c>
      <c r="AV113" s="34" t="s">
        <v>4518</v>
      </c>
      <c r="AW113" s="34" t="s">
        <v>4518</v>
      </c>
      <c r="AX113" s="34" t="s">
        <v>4518</v>
      </c>
      <c r="AY113" s="34" t="s">
        <v>4518</v>
      </c>
      <c r="AZ113" s="34" t="s">
        <v>4518</v>
      </c>
      <c r="BA113" s="34" t="s">
        <v>4518</v>
      </c>
      <c r="BB113" s="34" t="s">
        <v>4518</v>
      </c>
      <c r="BC113" s="34" t="s">
        <v>4518</v>
      </c>
      <c r="BD113" s="34" t="s">
        <v>4518</v>
      </c>
      <c r="BE113" s="34" t="s">
        <v>4518</v>
      </c>
      <c r="BF113" s="34" t="s">
        <v>4518</v>
      </c>
      <c r="BG113" s="34" t="s">
        <v>4518</v>
      </c>
      <c r="BH113" s="34" t="s">
        <v>4518</v>
      </c>
      <c r="BI113" s="34" t="s">
        <v>4518</v>
      </c>
      <c r="BJ113" s="34" t="s">
        <v>4518</v>
      </c>
      <c r="BK113" s="34" t="s">
        <v>4518</v>
      </c>
      <c r="BL113" s="34" t="s">
        <v>4518</v>
      </c>
      <c r="BM113" s="34" t="s">
        <v>4518</v>
      </c>
      <c r="BN113" s="34" t="s">
        <v>4518</v>
      </c>
      <c r="BO113" s="34" t="s">
        <v>4518</v>
      </c>
      <c r="BP113" s="34" t="s">
        <v>4518</v>
      </c>
      <c r="BQ113" s="34" t="s">
        <v>4518</v>
      </c>
      <c r="BR113" s="34" t="s">
        <v>4518</v>
      </c>
      <c r="BS113" s="34" t="s">
        <v>4518</v>
      </c>
      <c r="BT113" s="34" t="s">
        <v>4518</v>
      </c>
      <c r="BU113" s="34" t="s">
        <v>4518</v>
      </c>
      <c r="BV113" s="34" t="s">
        <v>4518</v>
      </c>
      <c r="BW113" s="34" t="s">
        <v>4518</v>
      </c>
      <c r="BX113" s="34" t="s">
        <v>4518</v>
      </c>
      <c r="BY113" s="34" t="s">
        <v>4518</v>
      </c>
      <c r="BZ113" s="34" t="s">
        <v>4518</v>
      </c>
      <c r="CA113" s="34" t="s">
        <v>4518</v>
      </c>
      <c r="CB113" s="34" t="s">
        <v>4518</v>
      </c>
      <c r="CC113" s="34" t="s">
        <v>4518</v>
      </c>
      <c r="CD113" s="34" t="s">
        <v>4518</v>
      </c>
      <c r="CE113" s="34" t="s">
        <v>4518</v>
      </c>
      <c r="CF113" s="34" t="s">
        <v>4518</v>
      </c>
      <c r="CG113" s="34" t="s">
        <v>4518</v>
      </c>
      <c r="CH113" s="34" t="s">
        <v>4518</v>
      </c>
      <c r="CI113" s="34" t="s">
        <v>4518</v>
      </c>
      <c r="CJ113" s="34" t="s">
        <v>4518</v>
      </c>
      <c r="CK113" s="34" t="s">
        <v>4518</v>
      </c>
      <c r="CL113" s="34" t="s">
        <v>4518</v>
      </c>
      <c r="CM113" s="34" t="s">
        <v>4518</v>
      </c>
      <c r="CN113" s="34" t="s">
        <v>4518</v>
      </c>
      <c r="CO113" s="34" t="s">
        <v>4518</v>
      </c>
      <c r="CP113" s="34" t="s">
        <v>4518</v>
      </c>
      <c r="CQ113" s="34" t="s">
        <v>4518</v>
      </c>
      <c r="CR113" s="34" t="s">
        <v>4518</v>
      </c>
      <c r="CS113" s="34" t="s">
        <v>4518</v>
      </c>
      <c r="CT113" s="34" t="s">
        <v>4518</v>
      </c>
      <c r="CU113" s="34" t="s">
        <v>4518</v>
      </c>
      <c r="CV113" s="34" t="s">
        <v>4518</v>
      </c>
      <c r="CW113" s="34" t="s">
        <v>4518</v>
      </c>
      <c r="CX113" s="34" t="s">
        <v>4518</v>
      </c>
      <c r="CY113" s="34" t="s">
        <v>4518</v>
      </c>
      <c r="CZ113" s="34" t="s">
        <v>4518</v>
      </c>
      <c r="DA113" s="34" t="s">
        <v>4518</v>
      </c>
      <c r="DB113" s="34" t="s">
        <v>4518</v>
      </c>
      <c r="DC113" s="34" t="s">
        <v>4518</v>
      </c>
      <c r="DD113" s="34" t="s">
        <v>4518</v>
      </c>
      <c r="DE113" s="34" t="s">
        <v>4518</v>
      </c>
      <c r="DF113" s="34" t="s">
        <v>4518</v>
      </c>
      <c r="DG113" s="34" t="s">
        <v>4518</v>
      </c>
      <c r="DH113" s="34" t="s">
        <v>4518</v>
      </c>
      <c r="DI113" s="34" t="s">
        <v>4518</v>
      </c>
      <c r="DJ113" s="34" t="s">
        <v>4518</v>
      </c>
      <c r="DK113" s="34" t="s">
        <v>4518</v>
      </c>
      <c r="DL113" s="34" t="s">
        <v>4518</v>
      </c>
      <c r="DM113" s="34" t="s">
        <v>4518</v>
      </c>
      <c r="DN113" s="34" t="s">
        <v>4518</v>
      </c>
      <c r="DO113" s="34" t="s">
        <v>4518</v>
      </c>
      <c r="DP113" s="34" t="s">
        <v>4518</v>
      </c>
      <c r="DQ113" s="34" t="s">
        <v>4518</v>
      </c>
      <c r="DR113" s="34" t="s">
        <v>4518</v>
      </c>
      <c r="DS113" s="34" t="s">
        <v>4518</v>
      </c>
      <c r="DT113" s="34" t="s">
        <v>4518</v>
      </c>
      <c r="DU113" s="34" t="s">
        <v>4518</v>
      </c>
      <c r="DV113" s="34" t="s">
        <v>4518</v>
      </c>
      <c r="DW113" s="34" t="s">
        <v>4518</v>
      </c>
      <c r="DX113" s="34" t="s">
        <v>4518</v>
      </c>
      <c r="DY113" s="34" t="s">
        <v>4518</v>
      </c>
      <c r="DZ113" s="34" t="s">
        <v>4518</v>
      </c>
      <c r="EA113" s="34" t="s">
        <v>4518</v>
      </c>
      <c r="EB113" s="34" t="s">
        <v>4518</v>
      </c>
      <c r="EC113" s="34" t="s">
        <v>4518</v>
      </c>
      <c r="ED113" s="34" t="s">
        <v>4518</v>
      </c>
      <c r="EE113" s="34" t="s">
        <v>4518</v>
      </c>
      <c r="EF113" s="34" t="s">
        <v>4518</v>
      </c>
      <c r="EG113" s="34" t="s">
        <v>4518</v>
      </c>
      <c r="EH113" s="34" t="s">
        <v>4518</v>
      </c>
      <c r="EI113" s="34" t="s">
        <v>4518</v>
      </c>
      <c r="EJ113" s="34" t="s">
        <v>4518</v>
      </c>
      <c r="EK113" s="34" t="s">
        <v>4518</v>
      </c>
      <c r="EL113" s="34" t="s">
        <v>4518</v>
      </c>
      <c r="EM113" s="34" t="s">
        <v>4518</v>
      </c>
      <c r="EN113" s="34" t="s">
        <v>4518</v>
      </c>
      <c r="EO113" s="34" t="s">
        <v>4518</v>
      </c>
      <c r="EP113" s="34" t="s">
        <v>4518</v>
      </c>
      <c r="EQ113" s="34" t="s">
        <v>4518</v>
      </c>
      <c r="ER113" s="34" t="s">
        <v>4518</v>
      </c>
      <c r="ES113" s="34" t="s">
        <v>4518</v>
      </c>
      <c r="ET113" s="34" t="s">
        <v>4518</v>
      </c>
      <c r="EU113" s="34" t="s">
        <v>4518</v>
      </c>
      <c r="EV113" s="34" t="s">
        <v>4518</v>
      </c>
      <c r="EW113" s="34" t="s">
        <v>4518</v>
      </c>
      <c r="EX113" s="34" t="s">
        <v>4518</v>
      </c>
      <c r="EY113" s="34" t="s">
        <v>4518</v>
      </c>
      <c r="EZ113" s="34" t="s">
        <v>4518</v>
      </c>
      <c r="FA113" s="34" t="s">
        <v>4518</v>
      </c>
      <c r="FB113" s="34" t="s">
        <v>4518</v>
      </c>
      <c r="FC113" s="34" t="s">
        <v>4518</v>
      </c>
      <c r="FD113" s="34" t="s">
        <v>4518</v>
      </c>
      <c r="FE113" s="34" t="s">
        <v>4518</v>
      </c>
      <c r="FF113" s="34" t="s">
        <v>4518</v>
      </c>
      <c r="FG113" s="34" t="s">
        <v>4518</v>
      </c>
      <c r="FH113" s="34" t="s">
        <v>4518</v>
      </c>
      <c r="FI113" s="34" t="s">
        <v>4518</v>
      </c>
      <c r="FJ113" s="34" t="s">
        <v>4518</v>
      </c>
      <c r="FK113" s="34" t="s">
        <v>4518</v>
      </c>
      <c r="FL113" s="34" t="s">
        <v>4518</v>
      </c>
      <c r="FM113" s="34" t="s">
        <v>4518</v>
      </c>
      <c r="FN113" s="34" t="s">
        <v>4518</v>
      </c>
      <c r="FO113" s="34" t="s">
        <v>4518</v>
      </c>
      <c r="FP113" s="34" t="s">
        <v>4518</v>
      </c>
      <c r="FQ113" s="34" t="s">
        <v>4518</v>
      </c>
      <c r="FR113" s="34" t="s">
        <v>4518</v>
      </c>
      <c r="FS113" s="34" t="s">
        <v>4518</v>
      </c>
      <c r="FT113" s="34" t="s">
        <v>4518</v>
      </c>
      <c r="FU113" s="34" t="s">
        <v>4518</v>
      </c>
      <c r="FV113" s="34" t="s">
        <v>4518</v>
      </c>
      <c r="FW113" s="34" t="s">
        <v>4518</v>
      </c>
      <c r="FX113" s="34" t="s">
        <v>4518</v>
      </c>
      <c r="FY113" s="34" t="s">
        <v>4518</v>
      </c>
      <c r="FZ113" s="34" t="s">
        <v>4518</v>
      </c>
      <c r="GA113" s="34" t="s">
        <v>4518</v>
      </c>
      <c r="GB113" s="34" t="s">
        <v>4518</v>
      </c>
      <c r="GC113" s="34" t="s">
        <v>4518</v>
      </c>
      <c r="GD113" s="34" t="s">
        <v>4518</v>
      </c>
      <c r="GE113" s="34" t="s">
        <v>4518</v>
      </c>
      <c r="GF113" s="34" t="s">
        <v>4518</v>
      </c>
      <c r="GG113" s="34" t="s">
        <v>4518</v>
      </c>
      <c r="GH113" s="34" t="s">
        <v>4518</v>
      </c>
      <c r="GI113" s="34" t="s">
        <v>4518</v>
      </c>
      <c r="GJ113" s="34" t="s">
        <v>4518</v>
      </c>
      <c r="GK113" s="34" t="s">
        <v>4518</v>
      </c>
      <c r="GL113" s="34" t="s">
        <v>4518</v>
      </c>
      <c r="GM113" s="34" t="s">
        <v>4518</v>
      </c>
      <c r="GN113" s="34" t="s">
        <v>4518</v>
      </c>
      <c r="GO113" s="34" t="s">
        <v>4518</v>
      </c>
      <c r="GP113" s="34" t="s">
        <v>4518</v>
      </c>
      <c r="GQ113" s="34">
        <v>405.6</v>
      </c>
      <c r="GR113" s="34" t="s">
        <v>4518</v>
      </c>
      <c r="GS113" s="34" t="s">
        <v>4518</v>
      </c>
      <c r="GT113" s="34" t="s">
        <v>4518</v>
      </c>
      <c r="GU113" s="34" t="s">
        <v>4518</v>
      </c>
      <c r="GV113" s="34" t="s">
        <v>4518</v>
      </c>
      <c r="GW113" s="34" t="s">
        <v>4518</v>
      </c>
      <c r="GX113" s="34" t="s">
        <v>4518</v>
      </c>
      <c r="GY113" s="34" t="s">
        <v>4518</v>
      </c>
      <c r="GZ113" s="34" t="s">
        <v>4518</v>
      </c>
      <c r="HA113" s="34" t="s">
        <v>4518</v>
      </c>
      <c r="HB113" s="34" t="s">
        <v>4518</v>
      </c>
      <c r="HC113" s="34" t="s">
        <v>4518</v>
      </c>
      <c r="HD113" s="34" t="s">
        <v>4518</v>
      </c>
      <c r="HE113" s="34" t="s">
        <v>4518</v>
      </c>
      <c r="HF113" s="34" t="s">
        <v>4518</v>
      </c>
      <c r="HG113" s="34" t="s">
        <v>4518</v>
      </c>
      <c r="HH113" s="34" t="s">
        <v>4518</v>
      </c>
      <c r="HI113" s="34" t="s">
        <v>4518</v>
      </c>
      <c r="HJ113" s="34" t="s">
        <v>4518</v>
      </c>
      <c r="HK113" s="34" t="s">
        <v>4518</v>
      </c>
      <c r="HL113" s="34" t="s">
        <v>4518</v>
      </c>
      <c r="HM113" s="34" t="s">
        <v>4518</v>
      </c>
      <c r="HN113" s="34" t="s">
        <v>4518</v>
      </c>
      <c r="HO113" s="34" t="s">
        <v>4518</v>
      </c>
      <c r="HP113" s="34" t="s">
        <v>4518</v>
      </c>
      <c r="HQ113" s="34" t="s">
        <v>4518</v>
      </c>
      <c r="HR113" s="34" t="s">
        <v>4518</v>
      </c>
      <c r="HS113" s="34" t="s">
        <v>4518</v>
      </c>
      <c r="HT113" s="34" t="s">
        <v>4518</v>
      </c>
    </row>
    <row r="114" spans="1:228" s="34" customFormat="1" x14ac:dyDescent="0.2">
      <c r="A114" s="28" t="s">
        <v>7570</v>
      </c>
      <c r="B114" s="34" t="s">
        <v>7657</v>
      </c>
      <c r="D114" s="34" t="s">
        <v>7655</v>
      </c>
      <c r="E114" s="34" t="s">
        <v>7</v>
      </c>
      <c r="G114" s="34" t="s">
        <v>4518</v>
      </c>
      <c r="H114" s="34" t="s">
        <v>7669</v>
      </c>
      <c r="I114" s="34" t="s">
        <v>4518</v>
      </c>
      <c r="J114" s="34" t="s">
        <v>7661</v>
      </c>
      <c r="K114" s="34">
        <v>1987</v>
      </c>
      <c r="L114" s="34" t="s">
        <v>7662</v>
      </c>
      <c r="M114" s="34" t="s">
        <v>7309</v>
      </c>
      <c r="N114" s="34">
        <v>1.1000000000000001</v>
      </c>
      <c r="O114" s="34" t="s">
        <v>4518</v>
      </c>
      <c r="P114" s="34" t="s">
        <v>4518</v>
      </c>
      <c r="Q114" s="34" t="s">
        <v>4518</v>
      </c>
      <c r="R114" s="34" t="s">
        <v>4518</v>
      </c>
      <c r="S114" s="34" t="s">
        <v>4518</v>
      </c>
      <c r="T114" s="34" t="s">
        <v>4518</v>
      </c>
      <c r="U114" s="34" t="s">
        <v>4518</v>
      </c>
      <c r="V114" s="34" t="s">
        <v>4518</v>
      </c>
      <c r="W114" s="34" t="s">
        <v>4518</v>
      </c>
      <c r="X114" s="34" t="s">
        <v>4518</v>
      </c>
      <c r="Y114" s="34" t="s">
        <v>4518</v>
      </c>
      <c r="Z114" s="34" t="s">
        <v>4518</v>
      </c>
      <c r="AA114" s="34" t="s">
        <v>4518</v>
      </c>
      <c r="AB114" s="34" t="s">
        <v>4518</v>
      </c>
      <c r="AC114" s="34" t="s">
        <v>4518</v>
      </c>
      <c r="AD114" s="71">
        <v>8.1</v>
      </c>
      <c r="AE114" s="34" t="s">
        <v>4518</v>
      </c>
      <c r="AF114" s="71" t="s">
        <v>4518</v>
      </c>
      <c r="AG114" s="71" t="s">
        <v>4518</v>
      </c>
      <c r="AH114" s="71"/>
      <c r="AI114" s="34" t="s">
        <v>4518</v>
      </c>
      <c r="AJ114" s="34" t="s">
        <v>4518</v>
      </c>
      <c r="AK114" s="34" t="s">
        <v>4518</v>
      </c>
      <c r="AL114" s="34" t="s">
        <v>4518</v>
      </c>
      <c r="AM114" s="34" t="s">
        <v>4518</v>
      </c>
      <c r="AN114" s="34" t="s">
        <v>4518</v>
      </c>
      <c r="AO114" s="34" t="s">
        <v>4518</v>
      </c>
      <c r="AP114" s="34" t="s">
        <v>4518</v>
      </c>
      <c r="AQ114" s="34" t="s">
        <v>4518</v>
      </c>
      <c r="AR114" s="34" t="s">
        <v>4518</v>
      </c>
      <c r="AS114" s="34" t="s">
        <v>4518</v>
      </c>
      <c r="AT114" s="34" t="s">
        <v>4518</v>
      </c>
      <c r="AU114" s="34" t="s">
        <v>4518</v>
      </c>
      <c r="AV114" s="34" t="s">
        <v>4518</v>
      </c>
      <c r="AW114" s="34" t="s">
        <v>4518</v>
      </c>
      <c r="AX114" s="34" t="s">
        <v>4518</v>
      </c>
      <c r="AY114" s="34" t="s">
        <v>4518</v>
      </c>
      <c r="AZ114" s="34" t="s">
        <v>4518</v>
      </c>
      <c r="BA114" s="34" t="s">
        <v>4518</v>
      </c>
      <c r="BB114" s="34" t="s">
        <v>4518</v>
      </c>
      <c r="BC114" s="34" t="s">
        <v>4518</v>
      </c>
      <c r="BD114" s="34" t="s">
        <v>4518</v>
      </c>
      <c r="BE114" s="34" t="s">
        <v>4518</v>
      </c>
      <c r="BF114" s="34" t="s">
        <v>4518</v>
      </c>
      <c r="BG114" s="34" t="s">
        <v>4518</v>
      </c>
      <c r="BH114" s="34" t="s">
        <v>4518</v>
      </c>
      <c r="BI114" s="34" t="s">
        <v>4518</v>
      </c>
      <c r="BJ114" s="34" t="s">
        <v>4518</v>
      </c>
      <c r="BK114" s="34" t="s">
        <v>4518</v>
      </c>
      <c r="BL114" s="34" t="s">
        <v>4518</v>
      </c>
      <c r="BM114" s="34" t="s">
        <v>4518</v>
      </c>
      <c r="BN114" s="34" t="s">
        <v>4518</v>
      </c>
      <c r="BO114" s="34" t="s">
        <v>4518</v>
      </c>
      <c r="BP114" s="34" t="s">
        <v>4518</v>
      </c>
      <c r="BQ114" s="34" t="s">
        <v>4518</v>
      </c>
      <c r="BR114" s="34" t="s">
        <v>4518</v>
      </c>
      <c r="BS114" s="34" t="s">
        <v>4518</v>
      </c>
      <c r="BT114" s="34" t="s">
        <v>4518</v>
      </c>
      <c r="BU114" s="34" t="s">
        <v>4518</v>
      </c>
      <c r="BV114" s="34" t="s">
        <v>4518</v>
      </c>
      <c r="BW114" s="34" t="s">
        <v>4518</v>
      </c>
      <c r="BX114" s="34" t="s">
        <v>4518</v>
      </c>
      <c r="BY114" s="34" t="s">
        <v>4518</v>
      </c>
      <c r="BZ114" s="34" t="s">
        <v>4518</v>
      </c>
      <c r="CA114" s="34" t="s">
        <v>4518</v>
      </c>
      <c r="CB114" s="34" t="s">
        <v>4518</v>
      </c>
      <c r="CC114" s="34" t="s">
        <v>4518</v>
      </c>
      <c r="CD114" s="34" t="s">
        <v>4518</v>
      </c>
      <c r="CE114" s="34" t="s">
        <v>4518</v>
      </c>
      <c r="CF114" s="34" t="s">
        <v>4518</v>
      </c>
      <c r="CG114" s="34" t="s">
        <v>4518</v>
      </c>
      <c r="CH114" s="34" t="s">
        <v>4518</v>
      </c>
      <c r="CI114" s="34" t="s">
        <v>4518</v>
      </c>
      <c r="CJ114" s="34" t="s">
        <v>4518</v>
      </c>
      <c r="CK114" s="34" t="s">
        <v>4518</v>
      </c>
      <c r="CL114" s="34" t="s">
        <v>4518</v>
      </c>
      <c r="CM114" s="34" t="s">
        <v>4518</v>
      </c>
      <c r="CN114" s="34" t="s">
        <v>4518</v>
      </c>
      <c r="CO114" s="34" t="s">
        <v>4518</v>
      </c>
      <c r="CP114" s="34" t="s">
        <v>4518</v>
      </c>
      <c r="CQ114" s="34" t="s">
        <v>4518</v>
      </c>
      <c r="CR114" s="34" t="s">
        <v>4518</v>
      </c>
      <c r="CS114" s="34" t="s">
        <v>4518</v>
      </c>
      <c r="CT114" s="34" t="s">
        <v>4518</v>
      </c>
      <c r="CU114" s="34" t="s">
        <v>4518</v>
      </c>
      <c r="CV114" s="34" t="s">
        <v>4518</v>
      </c>
      <c r="CW114" s="34" t="s">
        <v>4518</v>
      </c>
      <c r="CX114" s="34" t="s">
        <v>4518</v>
      </c>
      <c r="CY114" s="34" t="s">
        <v>4518</v>
      </c>
      <c r="CZ114" s="34" t="s">
        <v>4518</v>
      </c>
      <c r="DA114" s="34" t="s">
        <v>4518</v>
      </c>
      <c r="DB114" s="34" t="s">
        <v>4518</v>
      </c>
      <c r="DC114" s="34" t="s">
        <v>4518</v>
      </c>
      <c r="DD114" s="34" t="s">
        <v>4518</v>
      </c>
      <c r="DE114" s="34" t="s">
        <v>4518</v>
      </c>
      <c r="DF114" s="34" t="s">
        <v>4518</v>
      </c>
      <c r="DG114" s="34" t="s">
        <v>4518</v>
      </c>
      <c r="DH114" s="34" t="s">
        <v>4518</v>
      </c>
      <c r="DI114" s="34" t="s">
        <v>4518</v>
      </c>
      <c r="DJ114" s="34" t="s">
        <v>4518</v>
      </c>
      <c r="DK114" s="34" t="s">
        <v>4518</v>
      </c>
      <c r="DL114" s="34" t="s">
        <v>4518</v>
      </c>
      <c r="DM114" s="34" t="s">
        <v>4518</v>
      </c>
      <c r="DN114" s="34" t="s">
        <v>4518</v>
      </c>
      <c r="DO114" s="34" t="s">
        <v>4518</v>
      </c>
      <c r="DP114" s="34" t="s">
        <v>4518</v>
      </c>
      <c r="DQ114" s="34" t="s">
        <v>4518</v>
      </c>
      <c r="DR114" s="34" t="s">
        <v>4518</v>
      </c>
      <c r="DS114" s="34" t="s">
        <v>4518</v>
      </c>
      <c r="DT114" s="34" t="s">
        <v>4518</v>
      </c>
      <c r="DU114" s="34" t="s">
        <v>4518</v>
      </c>
      <c r="DV114" s="34" t="s">
        <v>4518</v>
      </c>
      <c r="DW114" s="34" t="s">
        <v>4518</v>
      </c>
      <c r="DX114" s="34" t="s">
        <v>4518</v>
      </c>
      <c r="DY114" s="34" t="s">
        <v>4518</v>
      </c>
      <c r="DZ114" s="34" t="s">
        <v>4518</v>
      </c>
      <c r="EA114" s="34" t="s">
        <v>4518</v>
      </c>
      <c r="EB114" s="34" t="s">
        <v>4518</v>
      </c>
      <c r="EC114" s="34" t="s">
        <v>4518</v>
      </c>
      <c r="ED114" s="34" t="s">
        <v>4518</v>
      </c>
      <c r="EE114" s="34" t="s">
        <v>4518</v>
      </c>
      <c r="EF114" s="34" t="s">
        <v>4518</v>
      </c>
      <c r="EG114" s="34" t="s">
        <v>4518</v>
      </c>
      <c r="EH114" s="34" t="s">
        <v>4518</v>
      </c>
      <c r="EI114" s="34" t="s">
        <v>4518</v>
      </c>
      <c r="EJ114" s="34" t="s">
        <v>4518</v>
      </c>
      <c r="EK114" s="34" t="s">
        <v>4518</v>
      </c>
      <c r="EL114" s="34" t="s">
        <v>4518</v>
      </c>
      <c r="EM114" s="34" t="s">
        <v>4518</v>
      </c>
      <c r="EN114" s="34" t="s">
        <v>4518</v>
      </c>
      <c r="EO114" s="34" t="s">
        <v>4518</v>
      </c>
      <c r="EP114" s="34" t="s">
        <v>4518</v>
      </c>
      <c r="EQ114" s="34" t="s">
        <v>4518</v>
      </c>
      <c r="ER114" s="34" t="s">
        <v>4518</v>
      </c>
      <c r="ES114" s="34" t="s">
        <v>4518</v>
      </c>
      <c r="ET114" s="34" t="s">
        <v>4518</v>
      </c>
      <c r="EU114" s="34" t="s">
        <v>4518</v>
      </c>
      <c r="EV114" s="34" t="s">
        <v>4518</v>
      </c>
      <c r="EW114" s="34" t="s">
        <v>4518</v>
      </c>
      <c r="EX114" s="34" t="s">
        <v>4518</v>
      </c>
      <c r="EY114" s="34" t="s">
        <v>4518</v>
      </c>
      <c r="EZ114" s="34" t="s">
        <v>4518</v>
      </c>
      <c r="FA114" s="34" t="s">
        <v>4518</v>
      </c>
      <c r="FB114" s="34" t="s">
        <v>4518</v>
      </c>
      <c r="FC114" s="34" t="s">
        <v>4518</v>
      </c>
      <c r="FD114" s="34" t="s">
        <v>4518</v>
      </c>
      <c r="FE114" s="34" t="s">
        <v>4518</v>
      </c>
      <c r="FF114" s="34" t="s">
        <v>4518</v>
      </c>
      <c r="FG114" s="34" t="s">
        <v>4518</v>
      </c>
      <c r="FH114" s="34" t="s">
        <v>4518</v>
      </c>
      <c r="FI114" s="34" t="s">
        <v>4518</v>
      </c>
      <c r="FJ114" s="34" t="s">
        <v>4518</v>
      </c>
      <c r="FK114" s="34" t="s">
        <v>4518</v>
      </c>
      <c r="FL114" s="34" t="s">
        <v>4518</v>
      </c>
      <c r="FM114" s="34" t="s">
        <v>4518</v>
      </c>
      <c r="FN114" s="34" t="s">
        <v>4518</v>
      </c>
      <c r="FO114" s="34" t="s">
        <v>4518</v>
      </c>
      <c r="FP114" s="34" t="s">
        <v>4518</v>
      </c>
      <c r="FQ114" s="34" t="s">
        <v>4518</v>
      </c>
      <c r="FR114" s="34" t="s">
        <v>4518</v>
      </c>
      <c r="FS114" s="34" t="s">
        <v>4518</v>
      </c>
      <c r="FT114" s="34" t="s">
        <v>4518</v>
      </c>
      <c r="FU114" s="34" t="s">
        <v>4518</v>
      </c>
      <c r="FV114" s="34" t="s">
        <v>4518</v>
      </c>
      <c r="FW114" s="34" t="s">
        <v>4518</v>
      </c>
      <c r="FX114" s="34" t="s">
        <v>4518</v>
      </c>
      <c r="FY114" s="34" t="s">
        <v>4518</v>
      </c>
      <c r="FZ114" s="34" t="s">
        <v>4518</v>
      </c>
      <c r="GA114" s="34" t="s">
        <v>4518</v>
      </c>
      <c r="GB114" s="34" t="s">
        <v>4518</v>
      </c>
      <c r="GC114" s="34" t="s">
        <v>4518</v>
      </c>
      <c r="GD114" s="34" t="s">
        <v>4518</v>
      </c>
      <c r="GE114" s="34" t="s">
        <v>4518</v>
      </c>
      <c r="GF114" s="34" t="s">
        <v>4518</v>
      </c>
      <c r="GG114" s="34" t="s">
        <v>4518</v>
      </c>
      <c r="GH114" s="34" t="s">
        <v>4518</v>
      </c>
      <c r="GI114" s="34" t="s">
        <v>4518</v>
      </c>
      <c r="GJ114" s="34" t="s">
        <v>4518</v>
      </c>
      <c r="GK114" s="34" t="s">
        <v>4518</v>
      </c>
      <c r="GL114" s="34" t="s">
        <v>4518</v>
      </c>
      <c r="GM114" s="34" t="s">
        <v>4518</v>
      </c>
      <c r="GN114" s="34" t="s">
        <v>4518</v>
      </c>
      <c r="GO114" s="34" t="s">
        <v>4518</v>
      </c>
      <c r="GP114" s="34" t="s">
        <v>4518</v>
      </c>
      <c r="GQ114" s="34">
        <v>348.29999999999995</v>
      </c>
      <c r="GR114" s="34" t="s">
        <v>4518</v>
      </c>
      <c r="GS114" s="34" t="s">
        <v>4518</v>
      </c>
      <c r="GT114" s="34" t="s">
        <v>4518</v>
      </c>
      <c r="GU114" s="34" t="s">
        <v>4518</v>
      </c>
      <c r="GV114" s="34" t="s">
        <v>4518</v>
      </c>
      <c r="GW114" s="34" t="s">
        <v>4518</v>
      </c>
      <c r="GX114" s="34" t="s">
        <v>4518</v>
      </c>
      <c r="GY114" s="34" t="s">
        <v>4518</v>
      </c>
      <c r="GZ114" s="34" t="s">
        <v>4518</v>
      </c>
      <c r="HA114" s="34" t="s">
        <v>4518</v>
      </c>
      <c r="HB114" s="34" t="s">
        <v>4518</v>
      </c>
      <c r="HC114" s="34" t="s">
        <v>4518</v>
      </c>
      <c r="HD114" s="34" t="s">
        <v>4518</v>
      </c>
      <c r="HE114" s="34" t="s">
        <v>4518</v>
      </c>
      <c r="HF114" s="34" t="s">
        <v>4518</v>
      </c>
      <c r="HG114" s="34" t="s">
        <v>4518</v>
      </c>
      <c r="HH114" s="34" t="s">
        <v>4518</v>
      </c>
      <c r="HI114" s="34" t="s">
        <v>4518</v>
      </c>
      <c r="HJ114" s="34" t="s">
        <v>4518</v>
      </c>
      <c r="HK114" s="34" t="s">
        <v>4518</v>
      </c>
      <c r="HL114" s="34" t="s">
        <v>4518</v>
      </c>
      <c r="HM114" s="34" t="s">
        <v>4518</v>
      </c>
      <c r="HN114" s="34" t="s">
        <v>4518</v>
      </c>
      <c r="HO114" s="34" t="s">
        <v>4518</v>
      </c>
      <c r="HP114" s="34" t="s">
        <v>4518</v>
      </c>
      <c r="HQ114" s="34" t="s">
        <v>4518</v>
      </c>
      <c r="HR114" s="34" t="s">
        <v>4518</v>
      </c>
      <c r="HS114" s="34" t="s">
        <v>4518</v>
      </c>
      <c r="HT114" s="34" t="s">
        <v>4518</v>
      </c>
    </row>
    <row r="115" spans="1:228" x14ac:dyDescent="0.2">
      <c r="HT115" s="34"/>
    </row>
  </sheetData>
  <autoFilter ref="A2:IG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S56"/>
  <sheetViews>
    <sheetView zoomScaleNormal="100" workbookViewId="0">
      <pane xSplit="12" ySplit="2" topLeftCell="M4" activePane="bottomRight" state="frozen"/>
      <selection pane="topRight" activeCell="N1" sqref="N1"/>
      <selection pane="bottomLeft" activeCell="A3" sqref="A3"/>
      <selection pane="bottomRight"/>
    </sheetView>
  </sheetViews>
  <sheetFormatPr defaultColWidth="11.42578125" defaultRowHeight="12.75" x14ac:dyDescent="0.2"/>
  <cols>
    <col min="1" max="16384" width="11.42578125" style="1"/>
  </cols>
  <sheetData>
    <row r="1" spans="1:227" s="12" customFormat="1" ht="30" customHeight="1" x14ac:dyDescent="0.2">
      <c r="A1" s="15" t="s">
        <v>64</v>
      </c>
      <c r="B1" s="16" t="s">
        <v>65</v>
      </c>
      <c r="C1" s="16" t="s">
        <v>1063</v>
      </c>
      <c r="D1" s="16" t="s">
        <v>1064</v>
      </c>
      <c r="E1" s="16" t="s">
        <v>6</v>
      </c>
      <c r="F1" s="16" t="s">
        <v>6210</v>
      </c>
      <c r="G1" s="16" t="s">
        <v>68</v>
      </c>
      <c r="H1" s="16" t="s">
        <v>69</v>
      </c>
      <c r="I1" s="16" t="s">
        <v>13</v>
      </c>
      <c r="J1" s="16" t="s">
        <v>70</v>
      </c>
      <c r="K1" s="16" t="s">
        <v>71</v>
      </c>
      <c r="L1" s="16" t="s">
        <v>6211</v>
      </c>
      <c r="M1" s="16" t="s">
        <v>19</v>
      </c>
      <c r="N1" s="16" t="s">
        <v>72</v>
      </c>
      <c r="O1" s="16" t="s">
        <v>243</v>
      </c>
      <c r="P1" s="16" t="s">
        <v>244</v>
      </c>
      <c r="Q1" s="16" t="s">
        <v>73</v>
      </c>
      <c r="R1" s="16" t="s">
        <v>74</v>
      </c>
      <c r="S1" s="16" t="s">
        <v>1071</v>
      </c>
      <c r="T1" s="16" t="s">
        <v>6212</v>
      </c>
      <c r="U1" s="16" t="s">
        <v>246</v>
      </c>
      <c r="V1" s="16" t="s">
        <v>76</v>
      </c>
      <c r="W1" s="16" t="s">
        <v>77</v>
      </c>
      <c r="X1" s="16" t="s">
        <v>79</v>
      </c>
      <c r="Y1" s="16" t="s">
        <v>6214</v>
      </c>
      <c r="Z1" s="16" t="s">
        <v>247</v>
      </c>
      <c r="AA1" s="16" t="s">
        <v>6215</v>
      </c>
      <c r="AB1" s="16" t="s">
        <v>6216</v>
      </c>
      <c r="AC1" s="16" t="s">
        <v>81</v>
      </c>
      <c r="AD1" s="16" t="s">
        <v>248</v>
      </c>
      <c r="AE1" s="16" t="s">
        <v>6217</v>
      </c>
      <c r="AF1" s="16" t="s">
        <v>6218</v>
      </c>
      <c r="AG1" s="16" t="s">
        <v>6219</v>
      </c>
      <c r="AH1" s="16" t="s">
        <v>6220</v>
      </c>
      <c r="AI1" s="16" t="s">
        <v>6221</v>
      </c>
      <c r="AJ1" s="16" t="s">
        <v>82</v>
      </c>
      <c r="AK1" s="16" t="s">
        <v>83</v>
      </c>
      <c r="AL1" s="16" t="s">
        <v>6222</v>
      </c>
      <c r="AM1" s="16" t="s">
        <v>6223</v>
      </c>
      <c r="AN1" s="16" t="s">
        <v>6224</v>
      </c>
      <c r="AO1" s="16" t="s">
        <v>6225</v>
      </c>
      <c r="AP1" s="16" t="s">
        <v>84</v>
      </c>
      <c r="AQ1" s="16" t="s">
        <v>85</v>
      </c>
      <c r="AR1" s="16" t="s">
        <v>1082</v>
      </c>
      <c r="AS1" s="16" t="s">
        <v>1083</v>
      </c>
      <c r="AT1" s="16" t="s">
        <v>86</v>
      </c>
      <c r="AU1" s="16" t="s">
        <v>87</v>
      </c>
      <c r="AV1" s="16" t="s">
        <v>88</v>
      </c>
      <c r="AW1" s="16" t="s">
        <v>89</v>
      </c>
      <c r="AX1" s="16" t="s">
        <v>251</v>
      </c>
      <c r="AY1" s="16" t="s">
        <v>90</v>
      </c>
      <c r="AZ1" s="16" t="s">
        <v>1087</v>
      </c>
      <c r="BA1" s="16" t="s">
        <v>91</v>
      </c>
      <c r="BB1" s="16" t="s">
        <v>1088</v>
      </c>
      <c r="BC1" s="16" t="s">
        <v>1089</v>
      </c>
      <c r="BD1" s="16" t="s">
        <v>92</v>
      </c>
      <c r="BE1" s="16" t="s">
        <v>252</v>
      </c>
      <c r="BF1" s="16" t="s">
        <v>6226</v>
      </c>
      <c r="BG1" s="16" t="s">
        <v>6227</v>
      </c>
      <c r="BH1" s="16" t="s">
        <v>253</v>
      </c>
      <c r="BI1" s="16" t="s">
        <v>254</v>
      </c>
      <c r="BJ1" s="16" t="s">
        <v>1098</v>
      </c>
      <c r="BK1" s="16" t="s">
        <v>6228</v>
      </c>
      <c r="BL1" s="16" t="s">
        <v>255</v>
      </c>
      <c r="BM1" s="16" t="s">
        <v>6229</v>
      </c>
      <c r="BN1" s="16" t="s">
        <v>1102</v>
      </c>
      <c r="BO1" s="16" t="s">
        <v>256</v>
      </c>
      <c r="BP1" s="16" t="s">
        <v>6230</v>
      </c>
      <c r="BQ1" s="16" t="s">
        <v>6231</v>
      </c>
      <c r="BR1" s="16" t="s">
        <v>6232</v>
      </c>
      <c r="BS1" s="16" t="s">
        <v>258</v>
      </c>
      <c r="BT1" s="16" t="s">
        <v>6233</v>
      </c>
      <c r="BU1" s="16" t="s">
        <v>259</v>
      </c>
      <c r="BV1" s="16" t="s">
        <v>260</v>
      </c>
      <c r="BW1" s="16" t="s">
        <v>6234</v>
      </c>
      <c r="BX1" s="16" t="s">
        <v>6235</v>
      </c>
      <c r="BY1" s="16" t="s">
        <v>6236</v>
      </c>
      <c r="BZ1" s="16" t="s">
        <v>6237</v>
      </c>
      <c r="CA1" s="16" t="s">
        <v>93</v>
      </c>
      <c r="CB1" s="16" t="s">
        <v>94</v>
      </c>
      <c r="CC1" s="16" t="s">
        <v>1107</v>
      </c>
      <c r="CD1" s="16" t="s">
        <v>95</v>
      </c>
      <c r="CE1" s="16" t="s">
        <v>1113</v>
      </c>
      <c r="CF1" s="16" t="s">
        <v>262</v>
      </c>
      <c r="CG1" s="16" t="s">
        <v>263</v>
      </c>
      <c r="CH1" s="16" t="s">
        <v>264</v>
      </c>
      <c r="CI1" s="16" t="s">
        <v>96</v>
      </c>
      <c r="CJ1" s="16" t="s">
        <v>97</v>
      </c>
      <c r="CK1" s="16" t="s">
        <v>1115</v>
      </c>
      <c r="CL1" s="16" t="s">
        <v>133</v>
      </c>
      <c r="CM1" s="16" t="s">
        <v>134</v>
      </c>
      <c r="CN1" s="16" t="s">
        <v>135</v>
      </c>
      <c r="CO1" s="16" t="s">
        <v>267</v>
      </c>
      <c r="CP1" s="16" t="s">
        <v>136</v>
      </c>
      <c r="CQ1" s="16" t="s">
        <v>1119</v>
      </c>
      <c r="CR1" s="16" t="s">
        <v>137</v>
      </c>
      <c r="CS1" s="16" t="s">
        <v>138</v>
      </c>
      <c r="CT1" s="16" t="s">
        <v>139</v>
      </c>
      <c r="CU1" s="16" t="s">
        <v>140</v>
      </c>
      <c r="CV1" s="16" t="s">
        <v>141</v>
      </c>
      <c r="CW1" s="16" t="s">
        <v>142</v>
      </c>
      <c r="CX1" s="16" t="s">
        <v>143</v>
      </c>
      <c r="CY1" s="16" t="s">
        <v>144</v>
      </c>
      <c r="CZ1" s="16" t="s">
        <v>145</v>
      </c>
      <c r="DA1" s="16" t="s">
        <v>146</v>
      </c>
      <c r="DB1" s="16" t="s">
        <v>147</v>
      </c>
      <c r="DC1" s="16" t="s">
        <v>148</v>
      </c>
      <c r="DD1" s="16" t="s">
        <v>149</v>
      </c>
      <c r="DE1" s="16" t="s">
        <v>150</v>
      </c>
      <c r="DF1" s="16" t="s">
        <v>6238</v>
      </c>
      <c r="DG1" s="16" t="s">
        <v>6239</v>
      </c>
      <c r="DH1" s="16" t="s">
        <v>269</v>
      </c>
      <c r="DI1" s="16" t="s">
        <v>268</v>
      </c>
      <c r="DJ1" s="16" t="s">
        <v>6240</v>
      </c>
      <c r="DK1" s="16" t="s">
        <v>6241</v>
      </c>
      <c r="DL1" s="16" t="s">
        <v>6242</v>
      </c>
      <c r="DM1" s="16" t="s">
        <v>6243</v>
      </c>
      <c r="DN1" s="16" t="s">
        <v>6244</v>
      </c>
      <c r="DO1" s="16" t="s">
        <v>6245</v>
      </c>
      <c r="DP1" s="16" t="s">
        <v>6246</v>
      </c>
      <c r="DQ1" s="16" t="s">
        <v>6247</v>
      </c>
      <c r="DR1" s="16" t="s">
        <v>6248</v>
      </c>
      <c r="DS1" s="16" t="s">
        <v>6249</v>
      </c>
      <c r="DT1" s="16" t="s">
        <v>6250</v>
      </c>
      <c r="DU1" s="16" t="s">
        <v>6251</v>
      </c>
      <c r="DV1" s="16" t="s">
        <v>6252</v>
      </c>
      <c r="DW1" s="16" t="s">
        <v>6253</v>
      </c>
      <c r="DX1" s="16" t="s">
        <v>6254</v>
      </c>
      <c r="DY1" s="16" t="s">
        <v>6255</v>
      </c>
      <c r="DZ1" s="16" t="s">
        <v>6256</v>
      </c>
      <c r="EA1" s="16" t="s">
        <v>272</v>
      </c>
      <c r="EB1" s="16" t="s">
        <v>6257</v>
      </c>
      <c r="EC1" s="16" t="s">
        <v>6258</v>
      </c>
      <c r="ED1" s="18" t="s">
        <v>7253</v>
      </c>
      <c r="EE1" s="18" t="s">
        <v>7464</v>
      </c>
      <c r="EF1" s="18" t="s">
        <v>7461</v>
      </c>
      <c r="EG1" s="23" t="s">
        <v>7605</v>
      </c>
      <c r="EH1" s="17" t="s">
        <v>257</v>
      </c>
      <c r="EI1" s="18" t="s">
        <v>6262</v>
      </c>
      <c r="EJ1" s="18" t="s">
        <v>6263</v>
      </c>
      <c r="EK1" s="18" t="s">
        <v>6264</v>
      </c>
      <c r="EL1" s="18" t="s">
        <v>6265</v>
      </c>
      <c r="EM1" s="18" t="s">
        <v>6266</v>
      </c>
    </row>
    <row r="2" spans="1:227" ht="28.5" customHeight="1" x14ac:dyDescent="0.2">
      <c r="A2" s="5"/>
      <c r="B2" s="5" t="s">
        <v>152</v>
      </c>
      <c r="C2" s="5"/>
      <c r="D2" s="5"/>
      <c r="E2" s="5" t="s">
        <v>153</v>
      </c>
      <c r="F2" s="5"/>
      <c r="G2" s="5" t="s">
        <v>154</v>
      </c>
      <c r="H2" s="5" t="s">
        <v>155</v>
      </c>
      <c r="I2" s="5" t="s">
        <v>14</v>
      </c>
      <c r="J2" s="5"/>
      <c r="K2" s="5"/>
      <c r="L2" s="5"/>
      <c r="M2" s="5"/>
      <c r="N2" s="5"/>
      <c r="O2" s="5"/>
      <c r="P2" s="5"/>
      <c r="EE2" s="62" t="s">
        <v>7465</v>
      </c>
      <c r="EF2" s="62" t="s">
        <v>7462</v>
      </c>
    </row>
    <row r="3" spans="1:227" s="5" customFormat="1" ht="58.5" hidden="1" customHeight="1" x14ac:dyDescent="0.2">
      <c r="O3" s="5" t="str">
        <f>IF(COUNTA(O4:O65536)=0,"","02")</f>
        <v>02</v>
      </c>
      <c r="P3" s="5" t="str">
        <f t="shared" ref="P3:CA3" si="0">IF(COUNTA(P4:P65536)=0,"","02")</f>
        <v>02</v>
      </c>
      <c r="Q3" s="5" t="str">
        <f t="shared" si="0"/>
        <v>02</v>
      </c>
      <c r="R3" s="5" t="str">
        <f t="shared" si="0"/>
        <v>02</v>
      </c>
      <c r="S3" s="5" t="str">
        <f t="shared" si="0"/>
        <v>02</v>
      </c>
      <c r="T3" s="5" t="str">
        <f t="shared" si="0"/>
        <v>02</v>
      </c>
      <c r="U3" s="5" t="str">
        <f t="shared" si="0"/>
        <v>02</v>
      </c>
      <c r="V3" s="5" t="str">
        <f t="shared" si="0"/>
        <v>02</v>
      </c>
      <c r="W3" s="5" t="str">
        <f t="shared" si="0"/>
        <v>02</v>
      </c>
      <c r="X3" s="5" t="str">
        <f t="shared" si="0"/>
        <v>02</v>
      </c>
      <c r="Y3" s="5" t="str">
        <f t="shared" si="0"/>
        <v>02</v>
      </c>
      <c r="Z3" s="5" t="str">
        <f t="shared" si="0"/>
        <v>02</v>
      </c>
      <c r="AA3" s="5" t="str">
        <f t="shared" si="0"/>
        <v>02</v>
      </c>
      <c r="AB3" s="5" t="str">
        <f t="shared" si="0"/>
        <v/>
      </c>
      <c r="AC3" s="5" t="str">
        <f t="shared" si="0"/>
        <v/>
      </c>
      <c r="AD3" s="5" t="str">
        <f t="shared" si="0"/>
        <v/>
      </c>
      <c r="AE3" s="5" t="str">
        <f t="shared" si="0"/>
        <v>02</v>
      </c>
      <c r="AF3" s="5" t="str">
        <f t="shared" si="0"/>
        <v>02</v>
      </c>
      <c r="AG3" s="5" t="str">
        <f t="shared" si="0"/>
        <v>02</v>
      </c>
      <c r="AH3" s="5" t="str">
        <f t="shared" si="0"/>
        <v/>
      </c>
      <c r="AI3" s="5" t="str">
        <f t="shared" si="0"/>
        <v/>
      </c>
      <c r="AJ3" s="5" t="str">
        <f t="shared" si="0"/>
        <v>02</v>
      </c>
      <c r="AK3" s="5" t="str">
        <f t="shared" si="0"/>
        <v>02</v>
      </c>
      <c r="AL3" s="5" t="str">
        <f t="shared" si="0"/>
        <v>02</v>
      </c>
      <c r="AM3" s="5" t="str">
        <f t="shared" si="0"/>
        <v>02</v>
      </c>
      <c r="AN3" s="5" t="str">
        <f t="shared" si="0"/>
        <v/>
      </c>
      <c r="AO3" s="5" t="str">
        <f t="shared" si="0"/>
        <v/>
      </c>
      <c r="AP3" s="5" t="str">
        <f t="shared" si="0"/>
        <v>02</v>
      </c>
      <c r="AQ3" s="5" t="str">
        <f t="shared" si="0"/>
        <v>02</v>
      </c>
      <c r="AR3" s="5" t="str">
        <f t="shared" si="0"/>
        <v/>
      </c>
      <c r="AS3" s="5" t="str">
        <f t="shared" si="0"/>
        <v/>
      </c>
      <c r="AT3" s="5" t="str">
        <f t="shared" si="0"/>
        <v>02</v>
      </c>
      <c r="AU3" s="5" t="str">
        <f t="shared" si="0"/>
        <v>02</v>
      </c>
      <c r="AV3" s="5" t="str">
        <f t="shared" si="0"/>
        <v>02</v>
      </c>
      <c r="AW3" s="5" t="str">
        <f t="shared" si="0"/>
        <v>02</v>
      </c>
      <c r="AX3" s="5" t="str">
        <f t="shared" si="0"/>
        <v>02</v>
      </c>
      <c r="AY3" s="5" t="str">
        <f t="shared" si="0"/>
        <v>02</v>
      </c>
      <c r="AZ3" s="5" t="str">
        <f t="shared" si="0"/>
        <v/>
      </c>
      <c r="BA3" s="5" t="str">
        <f t="shared" si="0"/>
        <v>02</v>
      </c>
      <c r="BB3" s="5" t="str">
        <f t="shared" si="0"/>
        <v/>
      </c>
      <c r="BC3" s="5" t="str">
        <f t="shared" si="0"/>
        <v/>
      </c>
      <c r="BD3" s="5" t="str">
        <f t="shared" si="0"/>
        <v>02</v>
      </c>
      <c r="BE3" s="5" t="str">
        <f t="shared" si="0"/>
        <v/>
      </c>
      <c r="BF3" s="5" t="str">
        <f t="shared" si="0"/>
        <v/>
      </c>
      <c r="BG3" s="5" t="str">
        <f t="shared" si="0"/>
        <v/>
      </c>
      <c r="BH3" s="5" t="str">
        <f t="shared" si="0"/>
        <v/>
      </c>
      <c r="BI3" s="5" t="str">
        <f t="shared" si="0"/>
        <v>02</v>
      </c>
      <c r="BJ3" s="5" t="str">
        <f t="shared" si="0"/>
        <v/>
      </c>
      <c r="BK3" s="5" t="str">
        <f t="shared" si="0"/>
        <v/>
      </c>
      <c r="BL3" s="5" t="str">
        <f t="shared" si="0"/>
        <v/>
      </c>
      <c r="BM3" s="5" t="str">
        <f t="shared" si="0"/>
        <v/>
      </c>
      <c r="BN3" s="5" t="str">
        <f t="shared" si="0"/>
        <v/>
      </c>
      <c r="BO3" s="5" t="str">
        <f t="shared" si="0"/>
        <v>02</v>
      </c>
      <c r="BP3" s="5" t="str">
        <f t="shared" si="0"/>
        <v/>
      </c>
      <c r="BQ3" s="5" t="str">
        <f t="shared" si="0"/>
        <v/>
      </c>
      <c r="BR3" s="5" t="str">
        <f t="shared" si="0"/>
        <v/>
      </c>
      <c r="BS3" s="5" t="str">
        <f t="shared" si="0"/>
        <v/>
      </c>
      <c r="BT3" s="5" t="str">
        <f t="shared" si="0"/>
        <v/>
      </c>
      <c r="BU3" s="5" t="str">
        <f t="shared" si="0"/>
        <v/>
      </c>
      <c r="BV3" s="5" t="str">
        <f t="shared" si="0"/>
        <v/>
      </c>
      <c r="BW3" s="5" t="str">
        <f t="shared" si="0"/>
        <v/>
      </c>
      <c r="BX3" s="5" t="str">
        <f t="shared" si="0"/>
        <v>02</v>
      </c>
      <c r="BY3" s="5" t="str">
        <f t="shared" si="0"/>
        <v/>
      </c>
      <c r="BZ3" s="5" t="str">
        <f t="shared" si="0"/>
        <v/>
      </c>
      <c r="CA3" s="5" t="str">
        <f t="shared" si="0"/>
        <v>02</v>
      </c>
      <c r="CB3" s="5" t="str">
        <f t="shared" ref="CB3:ED3" si="1">IF(COUNTA(CB4:CB65536)=0,"","02")</f>
        <v>02</v>
      </c>
      <c r="CC3" s="5" t="str">
        <f t="shared" si="1"/>
        <v>02</v>
      </c>
      <c r="CD3" s="5" t="str">
        <f t="shared" si="1"/>
        <v>02</v>
      </c>
      <c r="CE3" s="5" t="str">
        <f t="shared" si="1"/>
        <v/>
      </c>
      <c r="CF3" s="5" t="str">
        <f t="shared" si="1"/>
        <v>02</v>
      </c>
      <c r="CG3" s="5" t="str">
        <f t="shared" si="1"/>
        <v>02</v>
      </c>
      <c r="CH3" s="5" t="str">
        <f t="shared" si="1"/>
        <v/>
      </c>
      <c r="CI3" s="5" t="str">
        <f t="shared" si="1"/>
        <v/>
      </c>
      <c r="CJ3" s="5" t="str">
        <f t="shared" si="1"/>
        <v>02</v>
      </c>
      <c r="CK3" s="5" t="str">
        <f t="shared" si="1"/>
        <v>02</v>
      </c>
      <c r="CL3" s="5" t="str">
        <f t="shared" si="1"/>
        <v/>
      </c>
      <c r="CM3" s="5" t="str">
        <f t="shared" si="1"/>
        <v/>
      </c>
      <c r="CN3" s="5" t="str">
        <f t="shared" si="1"/>
        <v/>
      </c>
      <c r="CO3" s="5" t="str">
        <f t="shared" si="1"/>
        <v/>
      </c>
      <c r="CP3" s="5" t="str">
        <f t="shared" si="1"/>
        <v/>
      </c>
      <c r="CQ3" s="5" t="str">
        <f t="shared" si="1"/>
        <v/>
      </c>
      <c r="CR3" s="5" t="str">
        <f t="shared" si="1"/>
        <v/>
      </c>
      <c r="CS3" s="5" t="str">
        <f t="shared" si="1"/>
        <v/>
      </c>
      <c r="CT3" s="5" t="str">
        <f t="shared" si="1"/>
        <v/>
      </c>
      <c r="CU3" s="5" t="str">
        <f t="shared" si="1"/>
        <v/>
      </c>
      <c r="CV3" s="5" t="str">
        <f t="shared" si="1"/>
        <v/>
      </c>
      <c r="CW3" s="5" t="str">
        <f t="shared" si="1"/>
        <v/>
      </c>
      <c r="CX3" s="5" t="str">
        <f t="shared" si="1"/>
        <v/>
      </c>
      <c r="CY3" s="5" t="str">
        <f t="shared" si="1"/>
        <v/>
      </c>
      <c r="CZ3" s="5" t="str">
        <f t="shared" si="1"/>
        <v/>
      </c>
      <c r="DA3" s="5" t="str">
        <f t="shared" si="1"/>
        <v/>
      </c>
      <c r="DB3" s="5" t="str">
        <f t="shared" si="1"/>
        <v/>
      </c>
      <c r="DC3" s="5" t="str">
        <f t="shared" si="1"/>
        <v/>
      </c>
      <c r="DD3" s="5" t="str">
        <f t="shared" si="1"/>
        <v/>
      </c>
      <c r="DE3" s="5" t="str">
        <f t="shared" si="1"/>
        <v/>
      </c>
      <c r="DF3" s="5" t="str">
        <f t="shared" si="1"/>
        <v/>
      </c>
      <c r="DG3" s="5" t="str">
        <f t="shared" si="1"/>
        <v/>
      </c>
      <c r="DH3" s="5" t="str">
        <f t="shared" si="1"/>
        <v/>
      </c>
      <c r="DI3" s="5" t="str">
        <f t="shared" si="1"/>
        <v>02</v>
      </c>
      <c r="DJ3" s="5" t="str">
        <f t="shared" si="1"/>
        <v/>
      </c>
      <c r="DK3" s="5" t="str">
        <f t="shared" si="1"/>
        <v/>
      </c>
      <c r="DL3" s="5" t="str">
        <f t="shared" si="1"/>
        <v/>
      </c>
      <c r="DM3" s="5" t="str">
        <f t="shared" si="1"/>
        <v/>
      </c>
      <c r="DN3" s="5" t="str">
        <f t="shared" si="1"/>
        <v/>
      </c>
      <c r="DO3" s="5" t="str">
        <f t="shared" si="1"/>
        <v/>
      </c>
      <c r="DP3" s="5" t="str">
        <f t="shared" si="1"/>
        <v/>
      </c>
      <c r="DQ3" s="5" t="str">
        <f t="shared" si="1"/>
        <v/>
      </c>
      <c r="DR3" s="5" t="str">
        <f t="shared" si="1"/>
        <v/>
      </c>
      <c r="DS3" s="5" t="str">
        <f t="shared" si="1"/>
        <v/>
      </c>
      <c r="DT3" s="5" t="str">
        <f t="shared" si="1"/>
        <v/>
      </c>
      <c r="DU3" s="5" t="str">
        <f t="shared" si="1"/>
        <v/>
      </c>
      <c r="DV3" s="5" t="str">
        <f t="shared" si="1"/>
        <v/>
      </c>
      <c r="DW3" s="5" t="str">
        <f t="shared" si="1"/>
        <v/>
      </c>
      <c r="DX3" s="5" t="str">
        <f t="shared" si="1"/>
        <v/>
      </c>
      <c r="DY3" s="5" t="str">
        <f t="shared" si="1"/>
        <v/>
      </c>
      <c r="DZ3" s="5" t="str">
        <f t="shared" si="1"/>
        <v/>
      </c>
      <c r="EA3" s="5" t="str">
        <f t="shared" si="1"/>
        <v/>
      </c>
      <c r="EB3" s="5" t="str">
        <f t="shared" si="1"/>
        <v/>
      </c>
      <c r="EC3" s="5" t="str">
        <f t="shared" si="1"/>
        <v/>
      </c>
      <c r="ED3" s="5" t="str">
        <f t="shared" si="1"/>
        <v>02</v>
      </c>
      <c r="EE3" s="5" t="str">
        <f t="shared" ref="EE3:EL3" si="2">IF(COUNTA(EE4:EE65536)=0,"","02")</f>
        <v>02</v>
      </c>
      <c r="EF3" s="5" t="str">
        <f t="shared" si="2"/>
        <v>02</v>
      </c>
      <c r="EG3" s="5" t="str">
        <f t="shared" si="2"/>
        <v/>
      </c>
      <c r="EH3" s="5" t="str">
        <f t="shared" si="2"/>
        <v>02</v>
      </c>
      <c r="EI3" s="5" t="str">
        <f t="shared" si="2"/>
        <v>02</v>
      </c>
      <c r="EJ3" s="5" t="str">
        <f t="shared" si="2"/>
        <v>02</v>
      </c>
      <c r="EK3" s="5" t="str">
        <f t="shared" si="2"/>
        <v/>
      </c>
      <c r="EL3" s="5" t="str">
        <f t="shared" si="2"/>
        <v/>
      </c>
      <c r="EM3" s="5" t="str">
        <f t="shared" ref="EM3:GX3" si="3">IF(COUNTA(EM4:EM65536)=0,"","02")</f>
        <v/>
      </c>
      <c r="EN3" s="5" t="str">
        <f t="shared" si="3"/>
        <v/>
      </c>
      <c r="EO3" s="5" t="str">
        <f t="shared" si="3"/>
        <v/>
      </c>
      <c r="EP3" s="5" t="str">
        <f t="shared" si="3"/>
        <v/>
      </c>
      <c r="EQ3" s="5" t="str">
        <f t="shared" si="3"/>
        <v/>
      </c>
      <c r="ER3" s="5" t="str">
        <f t="shared" si="3"/>
        <v/>
      </c>
      <c r="ES3" s="5" t="str">
        <f t="shared" si="3"/>
        <v/>
      </c>
      <c r="ET3" s="5" t="str">
        <f t="shared" si="3"/>
        <v/>
      </c>
      <c r="EU3" s="5" t="str">
        <f t="shared" si="3"/>
        <v/>
      </c>
      <c r="EV3" s="5" t="str">
        <f t="shared" si="3"/>
        <v/>
      </c>
      <c r="EW3" s="5" t="str">
        <f t="shared" si="3"/>
        <v/>
      </c>
      <c r="EX3" s="5" t="str">
        <f t="shared" si="3"/>
        <v/>
      </c>
      <c r="EY3" s="5" t="str">
        <f t="shared" si="3"/>
        <v/>
      </c>
      <c r="EZ3" s="5" t="str">
        <f t="shared" si="3"/>
        <v/>
      </c>
      <c r="FA3" s="5" t="str">
        <f t="shared" si="3"/>
        <v/>
      </c>
      <c r="FB3" s="5" t="str">
        <f t="shared" si="3"/>
        <v/>
      </c>
      <c r="FC3" s="5" t="str">
        <f t="shared" si="3"/>
        <v/>
      </c>
      <c r="FD3" s="5" t="str">
        <f t="shared" si="3"/>
        <v/>
      </c>
      <c r="FE3" s="5" t="str">
        <f t="shared" si="3"/>
        <v/>
      </c>
      <c r="FF3" s="5" t="str">
        <f t="shared" si="3"/>
        <v/>
      </c>
      <c r="FG3" s="5" t="str">
        <f t="shared" si="3"/>
        <v/>
      </c>
      <c r="FH3" s="5" t="str">
        <f t="shared" si="3"/>
        <v/>
      </c>
      <c r="FI3" s="5" t="str">
        <f t="shared" si="3"/>
        <v/>
      </c>
      <c r="FJ3" s="5" t="str">
        <f t="shared" si="3"/>
        <v/>
      </c>
      <c r="FK3" s="5" t="str">
        <f t="shared" si="3"/>
        <v/>
      </c>
      <c r="FL3" s="5" t="str">
        <f t="shared" si="3"/>
        <v/>
      </c>
      <c r="FM3" s="5" t="str">
        <f t="shared" si="3"/>
        <v/>
      </c>
      <c r="FN3" s="5" t="str">
        <f t="shared" si="3"/>
        <v/>
      </c>
      <c r="FO3" s="5" t="str">
        <f t="shared" si="3"/>
        <v/>
      </c>
      <c r="FP3" s="5" t="str">
        <f t="shared" si="3"/>
        <v/>
      </c>
      <c r="FQ3" s="5" t="str">
        <f t="shared" si="3"/>
        <v/>
      </c>
      <c r="FR3" s="5" t="str">
        <f t="shared" si="3"/>
        <v/>
      </c>
      <c r="FS3" s="5" t="str">
        <f t="shared" si="3"/>
        <v/>
      </c>
      <c r="FT3" s="5" t="str">
        <f t="shared" si="3"/>
        <v/>
      </c>
      <c r="FU3" s="5" t="str">
        <f t="shared" si="3"/>
        <v/>
      </c>
      <c r="FV3" s="5" t="str">
        <f t="shared" si="3"/>
        <v/>
      </c>
      <c r="FW3" s="5" t="str">
        <f t="shared" si="3"/>
        <v/>
      </c>
      <c r="FX3" s="5" t="str">
        <f t="shared" si="3"/>
        <v/>
      </c>
      <c r="FY3" s="5" t="str">
        <f t="shared" si="3"/>
        <v/>
      </c>
      <c r="FZ3" s="5" t="str">
        <f t="shared" si="3"/>
        <v/>
      </c>
      <c r="GA3" s="5" t="str">
        <f t="shared" si="3"/>
        <v/>
      </c>
      <c r="GB3" s="5" t="str">
        <f t="shared" si="3"/>
        <v/>
      </c>
      <c r="GC3" s="5" t="str">
        <f t="shared" si="3"/>
        <v/>
      </c>
      <c r="GD3" s="5" t="str">
        <f t="shared" si="3"/>
        <v/>
      </c>
      <c r="GE3" s="5" t="str">
        <f t="shared" si="3"/>
        <v/>
      </c>
      <c r="GF3" s="5" t="str">
        <f t="shared" si="3"/>
        <v/>
      </c>
      <c r="GG3" s="5" t="str">
        <f t="shared" si="3"/>
        <v/>
      </c>
      <c r="GH3" s="5" t="str">
        <f t="shared" si="3"/>
        <v/>
      </c>
      <c r="GI3" s="5" t="str">
        <f t="shared" si="3"/>
        <v/>
      </c>
      <c r="GJ3" s="5" t="str">
        <f t="shared" si="3"/>
        <v/>
      </c>
      <c r="GK3" s="5" t="str">
        <f t="shared" si="3"/>
        <v/>
      </c>
      <c r="GL3" s="5" t="str">
        <f t="shared" si="3"/>
        <v/>
      </c>
      <c r="GM3" s="5" t="str">
        <f t="shared" si="3"/>
        <v/>
      </c>
      <c r="GN3" s="5" t="str">
        <f t="shared" si="3"/>
        <v/>
      </c>
      <c r="GO3" s="5" t="str">
        <f t="shared" si="3"/>
        <v/>
      </c>
      <c r="GP3" s="5" t="str">
        <f t="shared" si="3"/>
        <v/>
      </c>
      <c r="GQ3" s="5" t="str">
        <f t="shared" si="3"/>
        <v/>
      </c>
      <c r="GR3" s="5" t="str">
        <f t="shared" si="3"/>
        <v/>
      </c>
      <c r="GS3" s="5" t="str">
        <f t="shared" si="3"/>
        <v/>
      </c>
      <c r="GT3" s="5" t="str">
        <f t="shared" si="3"/>
        <v/>
      </c>
      <c r="GU3" s="5" t="str">
        <f t="shared" si="3"/>
        <v/>
      </c>
      <c r="GV3" s="5" t="str">
        <f t="shared" si="3"/>
        <v/>
      </c>
      <c r="GW3" s="5" t="str">
        <f t="shared" si="3"/>
        <v/>
      </c>
      <c r="GX3" s="5" t="str">
        <f t="shared" si="3"/>
        <v/>
      </c>
      <c r="GY3" s="5" t="str">
        <f t="shared" ref="GY3:HR3" si="4">IF(COUNTA(GY4:GY65536)=0,"","02")</f>
        <v/>
      </c>
      <c r="GZ3" s="5" t="str">
        <f t="shared" si="4"/>
        <v/>
      </c>
      <c r="HA3" s="5" t="str">
        <f t="shared" si="4"/>
        <v/>
      </c>
      <c r="HB3" s="5" t="str">
        <f t="shared" si="4"/>
        <v/>
      </c>
      <c r="HC3" s="5" t="str">
        <f t="shared" si="4"/>
        <v/>
      </c>
      <c r="HD3" s="5" t="str">
        <f t="shared" si="4"/>
        <v/>
      </c>
      <c r="HE3" s="5" t="str">
        <f t="shared" si="4"/>
        <v/>
      </c>
      <c r="HF3" s="5" t="str">
        <f t="shared" si="4"/>
        <v/>
      </c>
      <c r="HG3" s="5" t="str">
        <f t="shared" si="4"/>
        <v/>
      </c>
      <c r="HH3" s="5" t="str">
        <f t="shared" si="4"/>
        <v/>
      </c>
      <c r="HI3" s="5" t="str">
        <f t="shared" si="4"/>
        <v/>
      </c>
      <c r="HJ3" s="5" t="str">
        <f t="shared" si="4"/>
        <v/>
      </c>
      <c r="HK3" s="5" t="str">
        <f t="shared" si="4"/>
        <v/>
      </c>
      <c r="HL3" s="5" t="str">
        <f t="shared" si="4"/>
        <v/>
      </c>
      <c r="HM3" s="5" t="str">
        <f t="shared" si="4"/>
        <v/>
      </c>
      <c r="HN3" s="5" t="str">
        <f t="shared" si="4"/>
        <v/>
      </c>
      <c r="HO3" s="5" t="str">
        <f t="shared" si="4"/>
        <v/>
      </c>
      <c r="HP3" s="5" t="str">
        <f t="shared" si="4"/>
        <v/>
      </c>
      <c r="HQ3" s="5" t="str">
        <f t="shared" si="4"/>
        <v/>
      </c>
      <c r="HR3" s="5" t="str">
        <f t="shared" si="4"/>
        <v/>
      </c>
      <c r="HS3" s="48"/>
    </row>
    <row r="4" spans="1:227" s="12" customFormat="1" ht="11.25" customHeight="1" x14ac:dyDescent="0.2">
      <c r="A4" s="11" t="s">
        <v>6645</v>
      </c>
      <c r="B4" s="12" t="s">
        <v>6295</v>
      </c>
      <c r="D4" s="12" t="s">
        <v>6296</v>
      </c>
      <c r="E4" s="12" t="s">
        <v>7</v>
      </c>
      <c r="F4" s="12" t="s">
        <v>6297</v>
      </c>
      <c r="H4" s="12" t="s">
        <v>6298</v>
      </c>
      <c r="K4" s="12">
        <v>2010</v>
      </c>
      <c r="L4" s="12" t="s">
        <v>6299</v>
      </c>
      <c r="M4" s="12" t="s">
        <v>6201</v>
      </c>
      <c r="N4" s="12">
        <v>1.1000000000000001</v>
      </c>
      <c r="P4" s="13">
        <v>140.5</v>
      </c>
      <c r="Q4" s="12">
        <v>65.3</v>
      </c>
      <c r="R4" s="12">
        <v>6.25</v>
      </c>
      <c r="T4" s="20">
        <v>0.9</v>
      </c>
      <c r="V4" s="21">
        <v>0.3</v>
      </c>
      <c r="X4" s="12">
        <v>32.6</v>
      </c>
      <c r="AJ4" s="12">
        <v>0.5</v>
      </c>
      <c r="AP4" s="12">
        <v>0.4</v>
      </c>
      <c r="AQ4" s="12">
        <v>25</v>
      </c>
      <c r="AU4" s="20">
        <v>1.7</v>
      </c>
      <c r="AV4" s="20">
        <v>166.6</v>
      </c>
      <c r="AW4" s="20">
        <v>12.5</v>
      </c>
      <c r="AY4" s="22"/>
      <c r="BA4" s="20">
        <v>57.3</v>
      </c>
      <c r="BD4" s="20">
        <v>2.1</v>
      </c>
    </row>
    <row r="5" spans="1:227" s="12" customFormat="1" ht="11.25" customHeight="1" x14ac:dyDescent="0.2">
      <c r="A5" s="11" t="s">
        <v>6646</v>
      </c>
      <c r="B5" s="12" t="s">
        <v>6295</v>
      </c>
      <c r="C5" s="12" t="s">
        <v>6300</v>
      </c>
      <c r="D5" s="12" t="s">
        <v>6301</v>
      </c>
      <c r="E5" s="12" t="s">
        <v>11</v>
      </c>
      <c r="F5" s="12" t="s">
        <v>6297</v>
      </c>
      <c r="H5" s="12" t="s">
        <v>6302</v>
      </c>
      <c r="J5" s="12" t="s">
        <v>6303</v>
      </c>
      <c r="K5" s="12">
        <v>2010</v>
      </c>
      <c r="L5" s="12" t="s">
        <v>6299</v>
      </c>
      <c r="M5" s="12" t="s">
        <v>6201</v>
      </c>
      <c r="N5" s="12">
        <v>1.1000000000000001</v>
      </c>
      <c r="P5" s="13">
        <f>366*(100-6.9)/100</f>
        <v>340.74599999999998</v>
      </c>
      <c r="Q5" s="12">
        <v>6.9</v>
      </c>
      <c r="R5" s="12">
        <v>6.25</v>
      </c>
      <c r="T5" s="20">
        <f>1.5*(100-Q5)/100</f>
        <v>1.3964999999999999</v>
      </c>
      <c r="V5" s="21">
        <f>0.6*(100-Q5)/100</f>
        <v>0.55859999999999987</v>
      </c>
      <c r="X5" s="20">
        <f>87.3*(100-Q5)/100</f>
        <v>81.276299999999992</v>
      </c>
      <c r="AJ5" s="20">
        <f>1.6*(100-Q5)/100</f>
        <v>1.4896</v>
      </c>
      <c r="AP5" s="20">
        <f>2.1*(100-Q5)/100</f>
        <v>1.9550999999999998</v>
      </c>
      <c r="AQ5" s="20">
        <f>18.6*0.931</f>
        <v>17.316600000000001</v>
      </c>
      <c r="AU5" s="20">
        <f>0.9*0.931</f>
        <v>0.83790000000000009</v>
      </c>
      <c r="AV5" s="20">
        <f>279.3*0.931</f>
        <v>260.0283</v>
      </c>
      <c r="AW5" s="20">
        <f>(100-Q5)*13/100</f>
        <v>12.103</v>
      </c>
      <c r="AY5" s="22"/>
      <c r="BA5" s="20">
        <f>(100-Q5)*10.7/100</f>
        <v>9.9616999999999987</v>
      </c>
      <c r="BD5" s="20">
        <f>(100-Q5)*2.9/100</f>
        <v>2.6998999999999995</v>
      </c>
    </row>
    <row r="6" spans="1:227" s="12" customFormat="1" ht="11.25" customHeight="1" x14ac:dyDescent="0.2">
      <c r="A6" s="11" t="s">
        <v>6647</v>
      </c>
      <c r="B6" s="12" t="s">
        <v>6295</v>
      </c>
      <c r="C6" s="12" t="s">
        <v>6300</v>
      </c>
      <c r="D6" s="12" t="s">
        <v>6304</v>
      </c>
      <c r="E6" s="12" t="s">
        <v>11</v>
      </c>
      <c r="F6" s="12" t="s">
        <v>6297</v>
      </c>
      <c r="H6" s="12" t="s">
        <v>6305</v>
      </c>
      <c r="J6" s="12" t="s">
        <v>6303</v>
      </c>
      <c r="K6" s="12">
        <v>2010</v>
      </c>
      <c r="L6" s="12" t="s">
        <v>6299</v>
      </c>
      <c r="M6" s="12" t="s">
        <v>6201</v>
      </c>
      <c r="N6" s="12">
        <v>1.1000000000000001</v>
      </c>
      <c r="P6" s="13">
        <f>370*(100-Q6)/100</f>
        <v>347.06</v>
      </c>
      <c r="Q6" s="12">
        <v>6.2</v>
      </c>
      <c r="R6" s="12">
        <v>6.25</v>
      </c>
      <c r="T6" s="20">
        <f>1.3*(100-Q6)/100</f>
        <v>1.2194</v>
      </c>
      <c r="V6" s="21">
        <f>0.6*(100-Q6)/100</f>
        <v>0.56279999999999997</v>
      </c>
      <c r="X6" s="20">
        <f>88.4*(100-Q6)/100</f>
        <v>82.919200000000004</v>
      </c>
      <c r="AJ6" s="20">
        <f>1.5*(100-Q6)/100</f>
        <v>1.4069999999999998</v>
      </c>
      <c r="AP6" s="20">
        <f>2*(100-Q6)/100</f>
        <v>1.8759999999999999</v>
      </c>
      <c r="AQ6" s="20">
        <f>15.9*0.938</f>
        <v>14.914199999999999</v>
      </c>
      <c r="AU6" s="20">
        <f>1*0.938</f>
        <v>0.93799999999999994</v>
      </c>
      <c r="AV6" s="20">
        <f>234.5*0.938</f>
        <v>219.96099999999998</v>
      </c>
      <c r="AW6" s="20">
        <f>(100-Q6)*9.4/100</f>
        <v>8.8171999999999997</v>
      </c>
      <c r="AY6" s="22"/>
      <c r="BA6" s="20">
        <f>(100-Q6)*10.4/100</f>
        <v>9.7552000000000003</v>
      </c>
      <c r="BD6" s="20">
        <f>(100-Q6)*2.5/100</f>
        <v>2.3450000000000002</v>
      </c>
    </row>
    <row r="7" spans="1:227" s="12" customFormat="1" ht="11.25" customHeight="1" x14ac:dyDescent="0.2">
      <c r="A7" s="11" t="s">
        <v>6648</v>
      </c>
      <c r="B7" s="12" t="s">
        <v>6295</v>
      </c>
      <c r="C7" s="12" t="s">
        <v>6300</v>
      </c>
      <c r="D7" s="12" t="s">
        <v>6306</v>
      </c>
      <c r="E7" s="12" t="s">
        <v>11</v>
      </c>
      <c r="F7" s="12" t="s">
        <v>6297</v>
      </c>
      <c r="H7" s="12" t="s">
        <v>6307</v>
      </c>
      <c r="J7" s="12" t="s">
        <v>6303</v>
      </c>
      <c r="K7" s="12">
        <v>2010</v>
      </c>
      <c r="L7" s="12" t="s">
        <v>6299</v>
      </c>
      <c r="M7" s="12" t="s">
        <v>6201</v>
      </c>
      <c r="N7" s="12">
        <v>1.1000000000000001</v>
      </c>
      <c r="P7" s="13">
        <f>359*(100-Q7)/100</f>
        <v>326.69</v>
      </c>
      <c r="Q7" s="20">
        <v>9</v>
      </c>
      <c r="R7" s="12">
        <v>6.25</v>
      </c>
      <c r="T7" s="20">
        <f>1.9*(100-Q7)/100</f>
        <v>1.7290000000000001</v>
      </c>
      <c r="V7" s="21">
        <f>0.8*(100-Q7)/100</f>
        <v>0.72799999999999998</v>
      </c>
      <c r="X7" s="20">
        <f>84.3*(100-Q7)/100</f>
        <v>76.713000000000008</v>
      </c>
      <c r="AJ7" s="20">
        <f>1.6*(100-Q7)/100</f>
        <v>1.456</v>
      </c>
      <c r="AP7" s="20">
        <f>2.4*(100-Q7)/100</f>
        <v>2.1840000000000002</v>
      </c>
      <c r="AQ7" s="20">
        <f>21.8*0.91</f>
        <v>19.838000000000001</v>
      </c>
      <c r="AU7" s="20">
        <f>1.3*0.91</f>
        <v>1.1830000000000001</v>
      </c>
      <c r="AV7" s="20">
        <f>309.4*0.91</f>
        <v>281.55399999999997</v>
      </c>
      <c r="AW7" s="20">
        <f>(100-Q7)*13.7/100</f>
        <v>12.467000000000001</v>
      </c>
      <c r="AY7" s="22"/>
      <c r="BA7" s="20">
        <f>(100-Q7)*10/100</f>
        <v>9.1</v>
      </c>
      <c r="BD7" s="20">
        <f>(100-Q7)*3.2/100</f>
        <v>2.9119999999999999</v>
      </c>
    </row>
    <row r="8" spans="1:227" s="12" customFormat="1" ht="11.25" customHeight="1" x14ac:dyDescent="0.2">
      <c r="A8" s="11" t="s">
        <v>6649</v>
      </c>
      <c r="B8" s="12" t="s">
        <v>6295</v>
      </c>
      <c r="C8" s="12" t="s">
        <v>6308</v>
      </c>
      <c r="D8" s="12" t="s">
        <v>6309</v>
      </c>
      <c r="E8" s="12" t="s">
        <v>11</v>
      </c>
      <c r="F8" s="12" t="s">
        <v>6297</v>
      </c>
      <c r="H8" s="12" t="s">
        <v>6310</v>
      </c>
      <c r="J8" s="12" t="s">
        <v>6303</v>
      </c>
      <c r="K8" s="12">
        <v>2010</v>
      </c>
      <c r="L8" s="12" t="s">
        <v>6299</v>
      </c>
      <c r="M8" s="12" t="s">
        <v>6201</v>
      </c>
      <c r="N8" s="12">
        <v>1.1000000000000001</v>
      </c>
      <c r="P8" s="13">
        <f>284*(100-Q8)/100</f>
        <v>207.88800000000001</v>
      </c>
      <c r="Q8" s="12">
        <v>26.8</v>
      </c>
      <c r="R8" s="12">
        <v>6.25</v>
      </c>
      <c r="T8" s="20">
        <f>1.4*(100-Q8)/100</f>
        <v>1.0247999999999999</v>
      </c>
      <c r="V8" s="21">
        <f>0.7*(100-Q8)/100</f>
        <v>0.51239999999999997</v>
      </c>
      <c r="X8" s="20">
        <f>66.8*(100-Q8)/100</f>
        <v>48.897600000000004</v>
      </c>
      <c r="AJ8" s="20">
        <f>1.6*(100-Q8)/100</f>
        <v>1.1712</v>
      </c>
      <c r="AP8" s="20">
        <f>2.7*(100-Q8)/100</f>
        <v>1.9764000000000002</v>
      </c>
      <c r="AQ8" s="20">
        <f>22.7*0.732</f>
        <v>16.616399999999999</v>
      </c>
      <c r="AU8" s="20">
        <f>1.3*0.732</f>
        <v>0.9516</v>
      </c>
      <c r="AV8" s="20">
        <f>322.1*0.732</f>
        <v>235.77720000000002</v>
      </c>
      <c r="AW8" s="20">
        <f>(100-Q8)*15.1/100</f>
        <v>11.053199999999999</v>
      </c>
      <c r="AY8" s="22"/>
      <c r="BA8" s="20">
        <f>(100-Q8)*9.3/100</f>
        <v>6.8076000000000008</v>
      </c>
      <c r="BD8" s="20">
        <f>(100-Q8)*3.5/100</f>
        <v>2.5619999999999998</v>
      </c>
    </row>
    <row r="9" spans="1:227" s="12" customFormat="1" ht="11.25" customHeight="1" x14ac:dyDescent="0.2">
      <c r="A9" s="11" t="s">
        <v>6650</v>
      </c>
      <c r="B9" s="12" t="s">
        <v>6295</v>
      </c>
      <c r="C9" s="12" t="s">
        <v>6311</v>
      </c>
      <c r="D9" s="12" t="s">
        <v>6312</v>
      </c>
      <c r="E9" s="12" t="s">
        <v>11</v>
      </c>
      <c r="F9" s="12" t="s">
        <v>6297</v>
      </c>
      <c r="H9" s="12" t="s">
        <v>6313</v>
      </c>
      <c r="J9" s="12" t="s">
        <v>6303</v>
      </c>
      <c r="K9" s="12">
        <v>2010</v>
      </c>
      <c r="L9" s="12" t="s">
        <v>6299</v>
      </c>
      <c r="M9" s="12" t="s">
        <v>6201</v>
      </c>
      <c r="N9" s="12">
        <v>1.1000000000000001</v>
      </c>
      <c r="P9" s="13">
        <f>362.5*(100-Q9)/100</f>
        <v>329.875</v>
      </c>
      <c r="Q9" s="20">
        <v>9</v>
      </c>
      <c r="R9" s="12">
        <v>6.25</v>
      </c>
      <c r="T9" s="20">
        <f>1.6*(100-Q9)/100</f>
        <v>1.456</v>
      </c>
      <c r="V9" s="21">
        <f>0.5*(100-Q9)/100</f>
        <v>0.45500000000000002</v>
      </c>
      <c r="X9" s="20">
        <f>87*(100-Q9)/100</f>
        <v>79.17</v>
      </c>
      <c r="AJ9" s="20">
        <f>1*(100-Q9)/100</f>
        <v>0.91</v>
      </c>
      <c r="AP9" s="20">
        <f>0.9*(100-Q9)/100</f>
        <v>0.81900000000000006</v>
      </c>
      <c r="AQ9" s="20">
        <f>59.4*0.91</f>
        <v>54.054000000000002</v>
      </c>
      <c r="AU9" s="20">
        <f>3.6*0.91</f>
        <v>3.2760000000000002</v>
      </c>
      <c r="AV9" s="20">
        <f>369*0.91</f>
        <v>335.79</v>
      </c>
      <c r="AW9" s="20">
        <f>(100-Q9)*18.9/100</f>
        <v>17.198999999999998</v>
      </c>
      <c r="AY9" s="22"/>
      <c r="BA9" s="20">
        <f>(100-Q9)*129.6/100</f>
        <v>117.93600000000001</v>
      </c>
      <c r="BD9" s="20">
        <f>(100-Q9)*4.9/100</f>
        <v>4.4590000000000005</v>
      </c>
    </row>
    <row r="10" spans="1:227" s="12" customFormat="1" ht="11.25" customHeight="1" x14ac:dyDescent="0.2">
      <c r="A10" s="11" t="s">
        <v>6651</v>
      </c>
      <c r="B10" s="12" t="s">
        <v>6295</v>
      </c>
      <c r="C10" s="12" t="s">
        <v>6311</v>
      </c>
      <c r="D10" s="12" t="s">
        <v>6312</v>
      </c>
      <c r="E10" s="12" t="s">
        <v>11</v>
      </c>
      <c r="F10" s="12" t="s">
        <v>6297</v>
      </c>
      <c r="H10" s="12" t="s">
        <v>6314</v>
      </c>
      <c r="J10" s="12" t="s">
        <v>6303</v>
      </c>
      <c r="K10" s="12">
        <v>2010</v>
      </c>
      <c r="L10" s="12" t="s">
        <v>6299</v>
      </c>
      <c r="M10" s="12" t="s">
        <v>6201</v>
      </c>
      <c r="N10" s="12">
        <v>1.1000000000000001</v>
      </c>
      <c r="P10" s="13">
        <f>371.9*(100-Q10)/100</f>
        <v>342.89179999999999</v>
      </c>
      <c r="Q10" s="12">
        <v>7.8</v>
      </c>
      <c r="R10" s="12">
        <v>6.25</v>
      </c>
      <c r="T10" s="20">
        <f>1.8*(100-Q10)/100</f>
        <v>1.6596000000000002</v>
      </c>
      <c r="V10" s="21">
        <f>0.7*(100-Q10)/100</f>
        <v>0.64539999999999997</v>
      </c>
      <c r="X10" s="20">
        <f>88.4*(100-Q10)/100</f>
        <v>81.504800000000003</v>
      </c>
      <c r="AJ10" s="20">
        <f>0.8*(100-Q10)/100</f>
        <v>0.73760000000000003</v>
      </c>
      <c r="AP10" s="20">
        <f>0.5*(100-Q10)/100</f>
        <v>0.46100000000000002</v>
      </c>
      <c r="AQ10" s="20">
        <f>55.3*0.922</f>
        <v>50.986600000000003</v>
      </c>
      <c r="AU10" s="20">
        <f>2.8*0.922</f>
        <v>2.5815999999999999</v>
      </c>
      <c r="AV10" s="20">
        <f>359.6*0.922</f>
        <v>331.55120000000005</v>
      </c>
      <c r="AW10" s="20">
        <f>(100-Q10)*17.9/100</f>
        <v>16.503799999999998</v>
      </c>
      <c r="AY10" s="22"/>
      <c r="BA10" s="20">
        <f>(100-Q10)*139.9/100</f>
        <v>128.98779999999999</v>
      </c>
      <c r="BD10" s="20">
        <f>(100-Q10)*3.7/100</f>
        <v>3.4114000000000004</v>
      </c>
    </row>
    <row r="11" spans="1:227" s="12" customFormat="1" ht="11.25" customHeight="1" x14ac:dyDescent="0.2">
      <c r="A11" s="11" t="s">
        <v>6652</v>
      </c>
      <c r="B11" s="12" t="s">
        <v>6295</v>
      </c>
      <c r="C11" s="12" t="s">
        <v>6311</v>
      </c>
      <c r="D11" s="12" t="s">
        <v>6312</v>
      </c>
      <c r="E11" s="12" t="s">
        <v>11</v>
      </c>
      <c r="F11" s="12" t="s">
        <v>6297</v>
      </c>
      <c r="H11" s="12" t="s">
        <v>6315</v>
      </c>
      <c r="J11" s="12" t="s">
        <v>6303</v>
      </c>
      <c r="K11" s="12">
        <v>2010</v>
      </c>
      <c r="L11" s="12" t="s">
        <v>6299</v>
      </c>
      <c r="M11" s="12" t="s">
        <v>6201</v>
      </c>
      <c r="N11" s="12">
        <v>1.1000000000000001</v>
      </c>
      <c r="P11" s="13">
        <f>358.3*(100-Q11)/100</f>
        <v>318.52870000000001</v>
      </c>
      <c r="Q11" s="12">
        <v>11.1</v>
      </c>
      <c r="R11" s="12">
        <v>6.25</v>
      </c>
      <c r="T11" s="20">
        <f>0.8*(100-Q11)/100</f>
        <v>0.71120000000000005</v>
      </c>
      <c r="V11" s="21">
        <f>0.5*(100-Q11)/100</f>
        <v>0.44450000000000001</v>
      </c>
      <c r="X11" s="20">
        <f>86.2*(100-Q11)/100</f>
        <v>76.631799999999998</v>
      </c>
      <c r="AJ11" s="20">
        <f>0.8*(100-Q11)/100</f>
        <v>0.71120000000000005</v>
      </c>
      <c r="AP11" s="20">
        <f>0.7*(100-Q11)/100</f>
        <v>0.62229999999999996</v>
      </c>
      <c r="AQ11" s="20">
        <f>44.5*0.889</f>
        <v>39.560499999999998</v>
      </c>
      <c r="AU11" s="20">
        <f>2*0.889</f>
        <v>1.778</v>
      </c>
      <c r="AV11" s="20">
        <f>249.2*0.889</f>
        <v>221.53879999999998</v>
      </c>
      <c r="AW11" s="20">
        <f>(100-Q11)*8.9/100</f>
        <v>7.9121000000000006</v>
      </c>
      <c r="AY11" s="22"/>
      <c r="BA11" s="20">
        <f>(100-Q11)*97/100</f>
        <v>86.233000000000004</v>
      </c>
      <c r="BD11" s="20">
        <f>(100-Q11)*3.6/100</f>
        <v>3.2004000000000001</v>
      </c>
    </row>
    <row r="12" spans="1:227" s="12" customFormat="1" ht="11.25" customHeight="1" x14ac:dyDescent="0.2">
      <c r="A12" s="11" t="s">
        <v>6653</v>
      </c>
      <c r="B12" s="12" t="s">
        <v>6295</v>
      </c>
      <c r="D12" s="12" t="s">
        <v>6316</v>
      </c>
      <c r="E12" s="12" t="s">
        <v>11</v>
      </c>
      <c r="F12" s="12" t="s">
        <v>6297</v>
      </c>
      <c r="H12" s="12" t="s">
        <v>6317</v>
      </c>
      <c r="J12" s="12" t="s">
        <v>6303</v>
      </c>
      <c r="K12" s="12">
        <v>2010</v>
      </c>
      <c r="L12" s="12" t="s">
        <v>6299</v>
      </c>
      <c r="M12" s="12" t="s">
        <v>6201</v>
      </c>
      <c r="N12" s="12">
        <v>1.1000000000000001</v>
      </c>
      <c r="P12" s="13">
        <f>359*(100-Q12)/100</f>
        <v>314.48399999999998</v>
      </c>
      <c r="Q12" s="12">
        <v>12.4</v>
      </c>
      <c r="R12" s="12">
        <v>6.25</v>
      </c>
      <c r="T12" s="20">
        <f>2.6*(100-Q12)/100</f>
        <v>2.2776000000000001</v>
      </c>
      <c r="V12" s="21">
        <f>0.9*(100-Q12)/100</f>
        <v>0.78839999999999999</v>
      </c>
      <c r="X12" s="20">
        <f>81.2*(100-Q12)/100</f>
        <v>71.131199999999993</v>
      </c>
      <c r="AJ12" s="20">
        <f>2.2*(100-Q12)/100</f>
        <v>1.9272</v>
      </c>
      <c r="AP12" s="20">
        <f>0.7*(100-Q12)/100</f>
        <v>0.61319999999999997</v>
      </c>
      <c r="AQ12" s="20">
        <f>54.3*0.876</f>
        <v>47.566800000000001</v>
      </c>
      <c r="AU12" s="20">
        <f>2.9*0.876</f>
        <v>2.5404</v>
      </c>
      <c r="AV12" s="20">
        <f>438*0.876</f>
        <v>383.68799999999999</v>
      </c>
      <c r="AW12" s="20">
        <f>(100-Q12)*28.9/100</f>
        <v>25.316399999999998</v>
      </c>
      <c r="AY12" s="22"/>
      <c r="BA12" s="20">
        <f>(100-Q12)*143.7/100</f>
        <v>125.88119999999999</v>
      </c>
      <c r="BD12" s="20">
        <f>(100-Q12)*5.8/100</f>
        <v>5.0807999999999991</v>
      </c>
    </row>
    <row r="13" spans="1:227" s="12" customFormat="1" ht="11.25" customHeight="1" x14ac:dyDescent="0.2">
      <c r="A13" s="11" t="s">
        <v>6654</v>
      </c>
      <c r="B13" s="12" t="s">
        <v>6295</v>
      </c>
      <c r="D13" s="12" t="s">
        <v>6318</v>
      </c>
      <c r="E13" s="12" t="s">
        <v>11</v>
      </c>
      <c r="F13" s="12" t="s">
        <v>6297</v>
      </c>
      <c r="H13" s="12" t="s">
        <v>6319</v>
      </c>
      <c r="J13" s="12" t="s">
        <v>6303</v>
      </c>
      <c r="K13" s="12">
        <v>2010</v>
      </c>
      <c r="L13" s="12" t="s">
        <v>6299</v>
      </c>
      <c r="M13" s="12" t="s">
        <v>6201</v>
      </c>
      <c r="N13" s="12">
        <v>1.1000000000000001</v>
      </c>
      <c r="P13" s="13">
        <f>353*(100-Q13)/100</f>
        <v>306.05100000000004</v>
      </c>
      <c r="Q13" s="12">
        <v>13.3</v>
      </c>
      <c r="R13" s="12">
        <v>6.25</v>
      </c>
      <c r="T13" s="20">
        <f>2.5*(100-Q13)/100</f>
        <v>2.1675</v>
      </c>
      <c r="V13" s="21">
        <f>1.2*(100-Q13)/100</f>
        <v>1.0404</v>
      </c>
      <c r="X13" s="20">
        <f>80.3*(100-Q13)/100</f>
        <v>69.620100000000008</v>
      </c>
      <c r="AJ13" s="20">
        <f>1.7*(100-Q13)/100</f>
        <v>1.4739000000000002</v>
      </c>
      <c r="AP13" s="20">
        <f>1*(100-Q13)/100</f>
        <v>0.86699999999999999</v>
      </c>
      <c r="AQ13" s="20">
        <f>52*0.867</f>
        <v>45.084000000000003</v>
      </c>
      <c r="AU13" s="20">
        <f>3.2*0.867</f>
        <v>2.7744</v>
      </c>
      <c r="AV13" s="20">
        <f>433.5*0.867</f>
        <v>375.84449999999998</v>
      </c>
      <c r="AW13" s="20">
        <f>(100-Q13)*30.3/100</f>
        <v>26.270100000000003</v>
      </c>
      <c r="AY13" s="22"/>
      <c r="BA13" s="20">
        <f>(100-Q13)*140.9/100</f>
        <v>122.16030000000001</v>
      </c>
      <c r="BD13" s="20">
        <f>(100-Q13)*5.4/100</f>
        <v>4.6818000000000008</v>
      </c>
    </row>
    <row r="14" spans="1:227" s="12" customFormat="1" ht="11.25" customHeight="1" x14ac:dyDescent="0.2">
      <c r="A14" s="11" t="s">
        <v>6655</v>
      </c>
      <c r="B14" s="12" t="s">
        <v>6295</v>
      </c>
      <c r="C14" s="12" t="s">
        <v>6320</v>
      </c>
      <c r="D14" s="12" t="s">
        <v>6321</v>
      </c>
      <c r="E14" s="12" t="s">
        <v>11</v>
      </c>
      <c r="F14" s="12" t="s">
        <v>6297</v>
      </c>
      <c r="H14" s="12" t="s">
        <v>6322</v>
      </c>
      <c r="J14" s="12" t="s">
        <v>6303</v>
      </c>
      <c r="K14" s="12">
        <v>2010</v>
      </c>
      <c r="L14" s="12" t="s">
        <v>6299</v>
      </c>
      <c r="M14" s="12" t="s">
        <v>6201</v>
      </c>
      <c r="N14" s="12">
        <v>1.1000000000000001</v>
      </c>
      <c r="P14" s="13">
        <f>312*(100-Q14)/100</f>
        <v>237.12</v>
      </c>
      <c r="Q14" s="20">
        <v>24</v>
      </c>
      <c r="R14" s="12">
        <v>6.25</v>
      </c>
      <c r="T14" s="20">
        <f>2.1*(100-Q14)/100</f>
        <v>1.5959999999999999</v>
      </c>
      <c r="V14" s="21">
        <f>0.8*(100-Q14)/100</f>
        <v>0.6080000000000001</v>
      </c>
      <c r="X14" s="20">
        <f>70.8*(100-Q14)/100</f>
        <v>53.808</v>
      </c>
      <c r="AJ14" s="20">
        <f>1.8*(100-Q14)/100</f>
        <v>1.3680000000000001</v>
      </c>
      <c r="AP14" s="20">
        <f>0.5*(100-Q14)/100</f>
        <v>0.38</v>
      </c>
      <c r="AQ14" s="20">
        <f>33.1*0.76</f>
        <v>25.156000000000002</v>
      </c>
      <c r="AU14" s="20">
        <f>2.1*0.76</f>
        <v>1.5960000000000001</v>
      </c>
      <c r="AV14" s="20">
        <f>342*0.76</f>
        <v>259.92</v>
      </c>
      <c r="AW14" s="20">
        <f>(100-Q14)*19.8/100</f>
        <v>15.048</v>
      </c>
      <c r="AY14" s="22"/>
      <c r="BA14" s="20">
        <f>(100-Q14)*120.8/100</f>
        <v>91.807999999999993</v>
      </c>
      <c r="BD14" s="20">
        <f>(100-Q14)*4.2/100</f>
        <v>3.1919999999999997</v>
      </c>
    </row>
    <row r="15" spans="1:227" s="12" customFormat="1" ht="11.25" customHeight="1" x14ac:dyDescent="0.2">
      <c r="A15" s="11" t="s">
        <v>6656</v>
      </c>
      <c r="B15" s="12" t="s">
        <v>6295</v>
      </c>
      <c r="C15" s="12" t="s">
        <v>6320</v>
      </c>
      <c r="D15" s="12" t="s">
        <v>6323</v>
      </c>
      <c r="E15" s="12" t="s">
        <v>11</v>
      </c>
      <c r="F15" s="12" t="s">
        <v>6297</v>
      </c>
      <c r="H15" s="12" t="s">
        <v>6324</v>
      </c>
      <c r="J15" s="12" t="s">
        <v>6303</v>
      </c>
      <c r="K15" s="12">
        <v>2010</v>
      </c>
      <c r="L15" s="12" t="s">
        <v>6299</v>
      </c>
      <c r="M15" s="12" t="s">
        <v>6201</v>
      </c>
      <c r="N15" s="12">
        <v>1.1000000000000001</v>
      </c>
      <c r="P15" s="13">
        <f>310*(100-Q15)/100</f>
        <v>235.29</v>
      </c>
      <c r="Q15" s="12">
        <v>24.1</v>
      </c>
      <c r="R15" s="12">
        <v>6.25</v>
      </c>
      <c r="T15" s="20">
        <f>1.8*(100-Q15)/100</f>
        <v>1.3662000000000001</v>
      </c>
      <c r="V15" s="21">
        <f>0.7*(100-Q15)/100</f>
        <v>0.53129999999999999</v>
      </c>
      <c r="X15" s="20">
        <f>71.3*(100-Q15)/100</f>
        <v>54.116700000000002</v>
      </c>
      <c r="AJ15" s="20">
        <f>1.7*(100-Q15)/100</f>
        <v>1.2903</v>
      </c>
      <c r="AP15" s="20">
        <f>0.4*(100-Q15)/100</f>
        <v>0.30360000000000004</v>
      </c>
      <c r="AQ15" s="20">
        <f>37.2*0.759</f>
        <v>28.234800000000003</v>
      </c>
      <c r="AU15" s="20">
        <f>1.7*0.759</f>
        <v>1.2903</v>
      </c>
      <c r="AV15" s="20">
        <f>315*0.759</f>
        <v>239.08500000000001</v>
      </c>
      <c r="AW15" s="20">
        <f>(100-Q15)*15.6/100</f>
        <v>11.840399999999999</v>
      </c>
      <c r="AY15" s="22"/>
      <c r="BA15" s="20">
        <f>(100-Q15)*112.3/100</f>
        <v>85.235699999999994</v>
      </c>
      <c r="BD15" s="20">
        <f>(100-Q15)*4.2/100</f>
        <v>3.1878000000000002</v>
      </c>
    </row>
    <row r="16" spans="1:227" s="12" customFormat="1" ht="11.25" customHeight="1" x14ac:dyDescent="0.2">
      <c r="A16" s="11" t="s">
        <v>6657</v>
      </c>
      <c r="B16" s="12" t="s">
        <v>6295</v>
      </c>
      <c r="C16" s="12" t="s">
        <v>6325</v>
      </c>
      <c r="D16" s="12" t="s">
        <v>6326</v>
      </c>
      <c r="E16" s="12" t="s">
        <v>11</v>
      </c>
      <c r="F16" s="12" t="s">
        <v>6297</v>
      </c>
      <c r="H16" s="12" t="s">
        <v>6327</v>
      </c>
      <c r="J16" s="12" t="s">
        <v>6303</v>
      </c>
      <c r="K16" s="12">
        <v>2010</v>
      </c>
      <c r="L16" s="12" t="s">
        <v>6299</v>
      </c>
      <c r="M16" s="12" t="s">
        <v>6201</v>
      </c>
      <c r="N16" s="12">
        <v>1.1000000000000001</v>
      </c>
      <c r="P16" s="13">
        <f>366*(100-Q16)/100</f>
        <v>333.06</v>
      </c>
      <c r="Q16" s="20">
        <v>9</v>
      </c>
      <c r="R16" s="12">
        <v>6.25</v>
      </c>
      <c r="T16" s="20">
        <f>1.8*(100-Q16)/100</f>
        <v>1.6380000000000001</v>
      </c>
      <c r="V16" s="21">
        <f>1*(100-Q16)/100</f>
        <v>0.91</v>
      </c>
      <c r="X16" s="20">
        <f>85.2*(100-Q16)/100</f>
        <v>77.531999999999996</v>
      </c>
      <c r="AJ16" s="20">
        <f>1*(100-Q16)/100</f>
        <v>0.91</v>
      </c>
      <c r="AP16" s="20">
        <f>2*(100-Q16)/100</f>
        <v>1.82</v>
      </c>
      <c r="AQ16" s="20">
        <f>63.7*0.91</f>
        <v>57.967000000000006</v>
      </c>
      <c r="AU16" s="20">
        <f>4.3*0.91</f>
        <v>3.9129999999999998</v>
      </c>
      <c r="AV16" s="20">
        <f>473.2091</f>
        <v>473.20909999999998</v>
      </c>
      <c r="AW16" s="20">
        <f>(100-Q16)*35/100</f>
        <v>31.85</v>
      </c>
      <c r="AY16" s="22"/>
      <c r="BA16" s="20">
        <f>(100-Q16)*152/100</f>
        <v>138.32</v>
      </c>
      <c r="BD16" s="20">
        <f>(100-Q16)*6.7/100</f>
        <v>6.0970000000000004</v>
      </c>
    </row>
    <row r="17" spans="1:139" s="12" customFormat="1" ht="11.25" customHeight="1" x14ac:dyDescent="0.2">
      <c r="A17" s="11" t="s">
        <v>6658</v>
      </c>
      <c r="B17" s="12" t="s">
        <v>6295</v>
      </c>
      <c r="C17" s="12" t="s">
        <v>6325</v>
      </c>
      <c r="D17" s="12" t="s">
        <v>6328</v>
      </c>
      <c r="E17" s="12" t="s">
        <v>11</v>
      </c>
      <c r="F17" s="12" t="s">
        <v>6297</v>
      </c>
      <c r="H17" s="12" t="s">
        <v>6329</v>
      </c>
      <c r="J17" s="12" t="s">
        <v>6303</v>
      </c>
      <c r="K17" s="12">
        <v>2010</v>
      </c>
      <c r="L17" s="12" t="s">
        <v>6299</v>
      </c>
      <c r="M17" s="12" t="s">
        <v>6201</v>
      </c>
      <c r="N17" s="12">
        <v>1.1000000000000001</v>
      </c>
      <c r="P17" s="13">
        <f>356*(100-Q17)/100</f>
        <v>317.19599999999997</v>
      </c>
      <c r="Q17" s="12">
        <v>10.9</v>
      </c>
      <c r="R17" s="12">
        <v>6.25</v>
      </c>
      <c r="T17" s="20">
        <f>1.6*(100-Q17)/100</f>
        <v>1.4256</v>
      </c>
      <c r="V17" s="21">
        <f>0.9*(100-Q17)/100</f>
        <v>0.80189999999999995</v>
      </c>
      <c r="X17" s="20">
        <f>83.8*(100-Q17)/100</f>
        <v>74.66579999999999</v>
      </c>
      <c r="AJ17" s="20">
        <f>0.9*(100-Q17)/100</f>
        <v>0.80189999999999995</v>
      </c>
      <c r="AP17" s="20">
        <f>1.9*(100-Q17)/100</f>
        <v>1.6928999999999998</v>
      </c>
      <c r="AQ17" s="20">
        <f>58.8*0.891</f>
        <v>52.390799999999999</v>
      </c>
      <c r="AU17" s="20">
        <f>2.9*0.891</f>
        <v>2.5838999999999999</v>
      </c>
      <c r="AV17" s="20">
        <f>427.7*0.891</f>
        <v>381.08069999999998</v>
      </c>
      <c r="AW17" s="20">
        <f>(100-Q17)*27.6/100</f>
        <v>24.5916</v>
      </c>
      <c r="AY17" s="22"/>
      <c r="BA17" s="20">
        <f>(100-Q17)*140.3/100</f>
        <v>125.0073</v>
      </c>
      <c r="BD17" s="20">
        <f>(100-Q17)*6/100</f>
        <v>5.3459999999999992</v>
      </c>
    </row>
    <row r="18" spans="1:139" s="12" customFormat="1" ht="11.25" customHeight="1" x14ac:dyDescent="0.2">
      <c r="A18" s="11" t="s">
        <v>6659</v>
      </c>
      <c r="B18" s="12" t="s">
        <v>6295</v>
      </c>
      <c r="C18" s="12" t="s">
        <v>6325</v>
      </c>
      <c r="D18" s="12" t="s">
        <v>6330</v>
      </c>
      <c r="E18" s="12" t="s">
        <v>11</v>
      </c>
      <c r="F18" s="12" t="s">
        <v>6297</v>
      </c>
      <c r="H18" s="12" t="s">
        <v>6331</v>
      </c>
      <c r="J18" s="12" t="s">
        <v>6303</v>
      </c>
      <c r="K18" s="12">
        <v>2010</v>
      </c>
      <c r="L18" s="12" t="s">
        <v>6299</v>
      </c>
      <c r="M18" s="12" t="s">
        <v>6201</v>
      </c>
      <c r="N18" s="12">
        <v>1.1000000000000001</v>
      </c>
      <c r="P18" s="13">
        <f>351*(100-Q18)/100</f>
        <v>309.58199999999999</v>
      </c>
      <c r="Q18" s="12">
        <v>11.8</v>
      </c>
      <c r="R18" s="12">
        <v>6.25</v>
      </c>
      <c r="T18" s="20">
        <f>1.5*(100-Q18)/100</f>
        <v>1.3230000000000002</v>
      </c>
      <c r="V18" s="21">
        <f>0.6*(100-Q18)/100</f>
        <v>0.5292</v>
      </c>
      <c r="X18" s="20">
        <f>83.5*(100-Q18)/100</f>
        <v>73.646999999999991</v>
      </c>
      <c r="AJ18" s="20">
        <f>0.8*(100-Q18)/100</f>
        <v>0.7056</v>
      </c>
      <c r="AP18" s="20">
        <f>1.8*(100-Q18)/100</f>
        <v>1.5876000000000001</v>
      </c>
      <c r="AQ18" s="20">
        <f>50.3*0.882</f>
        <v>44.364599999999996</v>
      </c>
      <c r="AU18" s="20">
        <f>2.4*0.882</f>
        <v>2.1168</v>
      </c>
      <c r="AV18" s="20">
        <f>374.9*0.882</f>
        <v>330.66179999999997</v>
      </c>
      <c r="AW18" s="20">
        <f>(100-Q18)*23.8/100</f>
        <v>20.991600000000002</v>
      </c>
      <c r="AY18" s="22"/>
      <c r="BA18" s="20">
        <f>(100-Q18)*134.9/100</f>
        <v>118.98180000000001</v>
      </c>
      <c r="BD18" s="20">
        <f>(100-Q18)*5.3/100</f>
        <v>4.6745999999999999</v>
      </c>
    </row>
    <row r="19" spans="1:139" s="12" customFormat="1" ht="11.25" customHeight="1" x14ac:dyDescent="0.2">
      <c r="A19" s="11" t="s">
        <v>6660</v>
      </c>
      <c r="B19" s="12" t="s">
        <v>6295</v>
      </c>
      <c r="C19" s="12" t="s">
        <v>6332</v>
      </c>
      <c r="D19" s="12" t="s">
        <v>6333</v>
      </c>
      <c r="E19" s="12" t="s">
        <v>11</v>
      </c>
      <c r="F19" s="12" t="s">
        <v>6297</v>
      </c>
      <c r="H19" s="12" t="s">
        <v>6334</v>
      </c>
      <c r="J19" s="12" t="s">
        <v>6303</v>
      </c>
      <c r="K19" s="12">
        <v>2010</v>
      </c>
      <c r="L19" s="12" t="s">
        <v>6299</v>
      </c>
      <c r="M19" s="12" t="s">
        <v>6201</v>
      </c>
      <c r="N19" s="12">
        <v>1.1000000000000001</v>
      </c>
      <c r="P19" s="13">
        <f>289*(100-Q19)/100</f>
        <v>210.392</v>
      </c>
      <c r="Q19" s="12">
        <v>27.2</v>
      </c>
      <c r="R19" s="12">
        <v>6.25</v>
      </c>
      <c r="T19" s="20">
        <f>2.6*(100-Q19)/100</f>
        <v>1.8928</v>
      </c>
      <c r="V19" s="21">
        <f>1.6*(100-Q19)/100</f>
        <v>1.1648000000000001</v>
      </c>
      <c r="X19" s="20">
        <f>64.3*(100-Q19)/100</f>
        <v>46.810400000000001</v>
      </c>
      <c r="AJ19" s="20">
        <f>1.4*(100-Q19)/100</f>
        <v>1.0191999999999999</v>
      </c>
      <c r="AP19" s="20">
        <f>2.9*(100-Q19)/100</f>
        <v>2.1111999999999997</v>
      </c>
      <c r="AQ19" s="20">
        <f>36.4*0.728</f>
        <v>26.499199999999998</v>
      </c>
      <c r="AU19" s="20">
        <f>1.5*0.728</f>
        <v>1.0920000000000001</v>
      </c>
      <c r="AV19" s="20">
        <f>291.2*0.728</f>
        <v>211.99359999999999</v>
      </c>
      <c r="AW19" s="20">
        <f>(100-Q19)*16/100</f>
        <v>11.648</v>
      </c>
      <c r="AY19" s="22"/>
      <c r="BA19" s="20">
        <f>(100-Q19)*107.7/100</f>
        <v>78.405599999999993</v>
      </c>
      <c r="BD19" s="20">
        <f>(100-Q19)*3.9/100</f>
        <v>2.8391999999999995</v>
      </c>
    </row>
    <row r="20" spans="1:139" s="12" customFormat="1" x14ac:dyDescent="0.2">
      <c r="A20" s="11" t="s">
        <v>6661</v>
      </c>
      <c r="B20" s="12" t="s">
        <v>6195</v>
      </c>
      <c r="D20" s="12" t="s">
        <v>6269</v>
      </c>
      <c r="E20" s="12" t="s">
        <v>11</v>
      </c>
      <c r="F20" s="12" t="s">
        <v>6270</v>
      </c>
      <c r="G20" s="12" t="s">
        <v>6198</v>
      </c>
      <c r="J20" s="12" t="s">
        <v>6199</v>
      </c>
      <c r="K20" s="12">
        <v>1989</v>
      </c>
      <c r="L20" s="12" t="s">
        <v>6200</v>
      </c>
      <c r="M20" s="12" t="s">
        <v>6201</v>
      </c>
      <c r="N20" s="12">
        <v>1.1000000000000001</v>
      </c>
      <c r="Q20" s="12">
        <v>76</v>
      </c>
      <c r="AQ20" s="14">
        <v>19</v>
      </c>
      <c r="AT20" s="12">
        <v>0.2</v>
      </c>
      <c r="AV20" s="12">
        <v>302</v>
      </c>
      <c r="AW20" s="13">
        <v>11</v>
      </c>
      <c r="AX20" s="12">
        <v>0.12</v>
      </c>
      <c r="AY20" s="14">
        <v>10</v>
      </c>
      <c r="BA20" s="12">
        <v>38</v>
      </c>
      <c r="BD20" s="12">
        <v>0.2</v>
      </c>
    </row>
    <row r="21" spans="1:139" s="12" customFormat="1" x14ac:dyDescent="0.2">
      <c r="A21" s="11" t="s">
        <v>6662</v>
      </c>
      <c r="B21" s="12" t="s">
        <v>6195</v>
      </c>
      <c r="D21" s="12" t="s">
        <v>6293</v>
      </c>
      <c r="E21" s="12" t="s">
        <v>11</v>
      </c>
      <c r="F21" s="12" t="s">
        <v>6294</v>
      </c>
      <c r="G21" s="12" t="s">
        <v>6198</v>
      </c>
      <c r="J21" s="12" t="s">
        <v>6199</v>
      </c>
      <c r="K21" s="12">
        <v>1989</v>
      </c>
      <c r="L21" s="12" t="s">
        <v>6200</v>
      </c>
      <c r="M21" s="12" t="s">
        <v>6201</v>
      </c>
      <c r="N21" s="12">
        <v>1.1000000000000001</v>
      </c>
      <c r="Q21" s="12">
        <v>63</v>
      </c>
      <c r="AQ21" s="12">
        <v>26</v>
      </c>
      <c r="AT21" s="12">
        <v>0.2</v>
      </c>
      <c r="AV21" s="12">
        <v>263</v>
      </c>
      <c r="AW21" s="13">
        <v>22</v>
      </c>
      <c r="AX21" s="12">
        <v>0.28000000000000003</v>
      </c>
      <c r="AY21" s="12">
        <v>7</v>
      </c>
      <c r="BA21" s="12">
        <v>43</v>
      </c>
      <c r="BD21" s="12">
        <v>0.6</v>
      </c>
    </row>
    <row r="22" spans="1:139" s="12" customFormat="1" x14ac:dyDescent="0.2">
      <c r="A22" s="11" t="s">
        <v>6663</v>
      </c>
      <c r="B22" s="12" t="s">
        <v>6267</v>
      </c>
      <c r="D22" s="12" t="s">
        <v>6271</v>
      </c>
      <c r="E22" s="12" t="s">
        <v>7</v>
      </c>
      <c r="F22" s="12" t="s">
        <v>6272</v>
      </c>
      <c r="G22" s="12" t="s">
        <v>6198</v>
      </c>
      <c r="J22" s="12" t="s">
        <v>6199</v>
      </c>
      <c r="K22" s="12">
        <v>1989</v>
      </c>
      <c r="L22" s="12" t="s">
        <v>6200</v>
      </c>
      <c r="M22" s="12" t="s">
        <v>6201</v>
      </c>
      <c r="N22" s="12">
        <v>1.1000000000000001</v>
      </c>
      <c r="Q22" s="12">
        <v>74</v>
      </c>
      <c r="AQ22" s="12">
        <v>5</v>
      </c>
      <c r="AT22" s="12">
        <v>0.14000000000000001</v>
      </c>
      <c r="AV22" s="12">
        <v>572</v>
      </c>
      <c r="AW22" s="13">
        <v>22</v>
      </c>
      <c r="AX22" s="12">
        <v>0.03</v>
      </c>
      <c r="AY22" s="12">
        <v>6</v>
      </c>
      <c r="BA22" s="12">
        <v>53</v>
      </c>
      <c r="BD22" s="12">
        <v>0.25</v>
      </c>
    </row>
    <row r="23" spans="1:139" s="12" customFormat="1" x14ac:dyDescent="0.2">
      <c r="A23" s="11" t="s">
        <v>6664</v>
      </c>
      <c r="B23" s="12" t="s">
        <v>6267</v>
      </c>
      <c r="D23" s="12" t="s">
        <v>6273</v>
      </c>
      <c r="E23" s="12" t="s">
        <v>7</v>
      </c>
      <c r="F23" s="12" t="s">
        <v>6274</v>
      </c>
      <c r="G23" s="12" t="s">
        <v>6198</v>
      </c>
      <c r="J23" s="12" t="s">
        <v>6199</v>
      </c>
      <c r="K23" s="12">
        <v>1989</v>
      </c>
      <c r="L23" s="12" t="s">
        <v>6200</v>
      </c>
      <c r="M23" s="12" t="s">
        <v>6201</v>
      </c>
      <c r="N23" s="12">
        <v>1.1000000000000001</v>
      </c>
      <c r="Q23" s="12">
        <v>73</v>
      </c>
      <c r="AQ23" s="12">
        <v>8</v>
      </c>
      <c r="AT23" s="12">
        <v>0.25</v>
      </c>
      <c r="AV23" s="12">
        <v>315</v>
      </c>
      <c r="AW23" s="13">
        <v>32</v>
      </c>
      <c r="AX23" s="12">
        <v>0.06</v>
      </c>
      <c r="AY23" s="12">
        <v>1</v>
      </c>
      <c r="BA23" s="12">
        <v>39</v>
      </c>
      <c r="BD23" s="12">
        <v>0.48</v>
      </c>
    </row>
    <row r="24" spans="1:139" s="12" customFormat="1" x14ac:dyDescent="0.2">
      <c r="A24" s="11" t="s">
        <v>6665</v>
      </c>
      <c r="B24" s="12" t="s">
        <v>6267</v>
      </c>
      <c r="D24" s="12" t="s">
        <v>6291</v>
      </c>
      <c r="E24" s="12" t="s">
        <v>7</v>
      </c>
      <c r="F24" s="12" t="s">
        <v>6292</v>
      </c>
      <c r="G24" s="12" t="s">
        <v>6198</v>
      </c>
      <c r="J24" s="12" t="s">
        <v>6199</v>
      </c>
      <c r="K24" s="12">
        <v>1989</v>
      </c>
      <c r="L24" s="12" t="s">
        <v>6200</v>
      </c>
      <c r="M24" s="12" t="s">
        <v>6201</v>
      </c>
      <c r="N24" s="12">
        <v>1.1000000000000001</v>
      </c>
      <c r="Q24" s="12">
        <v>66</v>
      </c>
      <c r="AQ24" s="12">
        <v>17</v>
      </c>
      <c r="AT24" s="12">
        <v>0.24</v>
      </c>
      <c r="AV24" s="12">
        <v>410</v>
      </c>
      <c r="AW24" s="13">
        <v>36</v>
      </c>
      <c r="AX24" s="12">
        <v>0.21</v>
      </c>
      <c r="AY24" s="12">
        <v>5</v>
      </c>
      <c r="BA24" s="12">
        <v>65</v>
      </c>
      <c r="BD24" s="12">
        <v>0.57999999999999996</v>
      </c>
    </row>
    <row r="25" spans="1:139" s="12" customFormat="1" x14ac:dyDescent="0.2">
      <c r="A25" s="11" t="s">
        <v>6666</v>
      </c>
      <c r="B25" s="12" t="s">
        <v>6267</v>
      </c>
      <c r="D25" s="12" t="s">
        <v>6275</v>
      </c>
      <c r="E25" s="12" t="s">
        <v>7</v>
      </c>
      <c r="F25" s="12" t="s">
        <v>6270</v>
      </c>
      <c r="G25" s="12" t="s">
        <v>6198</v>
      </c>
      <c r="J25" s="12" t="s">
        <v>6199</v>
      </c>
      <c r="K25" s="12">
        <v>1989</v>
      </c>
      <c r="L25" s="12" t="s">
        <v>6200</v>
      </c>
      <c r="M25" s="12" t="s">
        <v>6201</v>
      </c>
      <c r="N25" s="12">
        <v>1.1000000000000001</v>
      </c>
      <c r="Q25" s="12">
        <v>68</v>
      </c>
      <c r="AQ25" s="12">
        <v>30</v>
      </c>
      <c r="AT25" s="12">
        <v>0.18</v>
      </c>
      <c r="AV25" s="12">
        <v>443</v>
      </c>
      <c r="AW25" s="13">
        <v>24</v>
      </c>
      <c r="AX25" s="12">
        <v>0.13</v>
      </c>
      <c r="AY25" s="12">
        <v>46</v>
      </c>
      <c r="BA25" s="12">
        <v>57</v>
      </c>
      <c r="BD25" s="12">
        <v>0.3</v>
      </c>
    </row>
    <row r="26" spans="1:139" s="12" customFormat="1" x14ac:dyDescent="0.2">
      <c r="A26" s="11" t="s">
        <v>6667</v>
      </c>
      <c r="B26" s="12" t="s">
        <v>6195</v>
      </c>
      <c r="C26" s="12" t="s">
        <v>6397</v>
      </c>
      <c r="D26" s="12" t="s">
        <v>6293</v>
      </c>
      <c r="E26" s="12" t="s">
        <v>11</v>
      </c>
      <c r="F26" s="12" t="s">
        <v>6398</v>
      </c>
      <c r="J26" s="12" t="s">
        <v>6399</v>
      </c>
      <c r="K26" s="12">
        <v>1988</v>
      </c>
      <c r="L26" s="12" t="s">
        <v>6400</v>
      </c>
      <c r="M26" s="12" t="s">
        <v>6201</v>
      </c>
      <c r="N26" s="12">
        <v>1.1000000000000001</v>
      </c>
      <c r="Q26" s="12">
        <v>63</v>
      </c>
      <c r="AQ26" s="12">
        <v>26</v>
      </c>
      <c r="BD26" s="12">
        <v>0.6</v>
      </c>
      <c r="DI26" s="12">
        <v>59</v>
      </c>
    </row>
    <row r="27" spans="1:139" s="12" customFormat="1" ht="12.75" customHeight="1" x14ac:dyDescent="0.2">
      <c r="A27" s="11" t="s">
        <v>6668</v>
      </c>
      <c r="B27" s="12" t="s">
        <v>6401</v>
      </c>
      <c r="D27" s="12" t="s">
        <v>6402</v>
      </c>
      <c r="E27" s="12" t="s">
        <v>11</v>
      </c>
      <c r="F27" s="12" t="s">
        <v>6403</v>
      </c>
      <c r="G27" s="12" t="s">
        <v>6404</v>
      </c>
      <c r="H27" s="12" t="s">
        <v>6405</v>
      </c>
      <c r="J27" s="12" t="s">
        <v>7466</v>
      </c>
      <c r="K27" s="12">
        <v>1993</v>
      </c>
      <c r="L27" s="12" t="s">
        <v>6406</v>
      </c>
      <c r="M27" s="12" t="s">
        <v>6201</v>
      </c>
      <c r="N27" s="12">
        <v>1.1000000000000001</v>
      </c>
      <c r="Q27" s="12">
        <v>65</v>
      </c>
      <c r="AQ27" s="12">
        <v>18</v>
      </c>
      <c r="AT27" s="12">
        <v>0.05</v>
      </c>
      <c r="AX27" s="12">
        <v>0.11</v>
      </c>
      <c r="BD27" s="12">
        <v>0.3</v>
      </c>
      <c r="DI27" s="12">
        <v>54</v>
      </c>
      <c r="EE27" s="12">
        <v>1.2</v>
      </c>
      <c r="EF27" s="12">
        <v>1.1000000000000001</v>
      </c>
    </row>
    <row r="28" spans="1:139" s="12" customFormat="1" x14ac:dyDescent="0.2">
      <c r="A28" s="11" t="s">
        <v>6669</v>
      </c>
      <c r="B28" s="12" t="s">
        <v>6401</v>
      </c>
      <c r="D28" s="12" t="s">
        <v>6407</v>
      </c>
      <c r="E28" s="12" t="s">
        <v>11</v>
      </c>
      <c r="F28" s="12" t="s">
        <v>6403</v>
      </c>
      <c r="G28" s="12" t="s">
        <v>6404</v>
      </c>
      <c r="H28" s="12" t="s">
        <v>6408</v>
      </c>
      <c r="J28" s="12" t="s">
        <v>7466</v>
      </c>
      <c r="K28" s="12">
        <v>1993</v>
      </c>
      <c r="L28" s="12" t="s">
        <v>6406</v>
      </c>
      <c r="M28" s="12" t="s">
        <v>6201</v>
      </c>
      <c r="N28" s="12">
        <v>1.1000000000000001</v>
      </c>
      <c r="Q28" s="12">
        <v>51</v>
      </c>
      <c r="AQ28" s="12">
        <v>30</v>
      </c>
      <c r="AT28" s="12">
        <v>7.0000000000000007E-2</v>
      </c>
      <c r="AX28" s="12">
        <v>0.16</v>
      </c>
      <c r="BD28" s="12">
        <v>0.4</v>
      </c>
      <c r="DI28" s="12">
        <v>48</v>
      </c>
      <c r="EE28" s="12">
        <v>0.3</v>
      </c>
      <c r="EF28" s="12">
        <v>2.1</v>
      </c>
    </row>
    <row r="29" spans="1:139" s="12" customFormat="1" x14ac:dyDescent="0.2">
      <c r="A29" s="11" t="s">
        <v>6670</v>
      </c>
      <c r="B29" s="12" t="s">
        <v>6409</v>
      </c>
      <c r="C29" s="12" t="s">
        <v>6410</v>
      </c>
      <c r="D29" s="12" t="s">
        <v>6411</v>
      </c>
      <c r="E29" s="12" t="s">
        <v>7</v>
      </c>
      <c r="F29" s="12" t="s">
        <v>6412</v>
      </c>
      <c r="H29" s="12" t="s">
        <v>6413</v>
      </c>
      <c r="I29" s="12">
        <v>3</v>
      </c>
      <c r="J29" s="12" t="s">
        <v>6414</v>
      </c>
      <c r="K29" s="12">
        <v>2013</v>
      </c>
      <c r="L29" s="12" t="s">
        <v>6415</v>
      </c>
      <c r="M29" s="12" t="s">
        <v>6201</v>
      </c>
      <c r="N29" s="12">
        <v>1.1000000000000001</v>
      </c>
      <c r="Q29" s="20">
        <v>68</v>
      </c>
      <c r="R29" s="12">
        <v>3.24</v>
      </c>
      <c r="S29" s="12">
        <v>0.14000000000000001</v>
      </c>
      <c r="T29" s="12">
        <v>0.46</v>
      </c>
      <c r="W29" s="12">
        <v>0.6</v>
      </c>
      <c r="AP29" s="12">
        <v>0.8</v>
      </c>
      <c r="BO29" s="12">
        <f>113.5*0.32</f>
        <v>36.32</v>
      </c>
      <c r="BX29" s="12">
        <f>163*0.32</f>
        <v>52.160000000000004</v>
      </c>
      <c r="ED29" s="24"/>
      <c r="EH29" s="12">
        <f>49.9*0.32</f>
        <v>15.968</v>
      </c>
    </row>
    <row r="30" spans="1:139" s="12" customFormat="1" x14ac:dyDescent="0.2">
      <c r="A30" s="11" t="s">
        <v>6671</v>
      </c>
      <c r="B30" s="12" t="s">
        <v>6409</v>
      </c>
      <c r="C30" s="12" t="s">
        <v>6410</v>
      </c>
      <c r="D30" s="12" t="s">
        <v>6416</v>
      </c>
      <c r="E30" s="12" t="s">
        <v>7</v>
      </c>
      <c r="F30" s="12" t="s">
        <v>6412</v>
      </c>
      <c r="H30" s="12" t="s">
        <v>6417</v>
      </c>
      <c r="I30" s="12">
        <v>3</v>
      </c>
      <c r="J30" s="12" t="s">
        <v>6414</v>
      </c>
      <c r="K30" s="12">
        <v>2013</v>
      </c>
      <c r="L30" s="12" t="s">
        <v>6415</v>
      </c>
      <c r="M30" s="12" t="s">
        <v>6201</v>
      </c>
      <c r="N30" s="12">
        <v>1.1000000000000001</v>
      </c>
      <c r="Q30" s="20">
        <v>73</v>
      </c>
      <c r="R30" s="12">
        <v>3.24</v>
      </c>
      <c r="S30" s="12">
        <v>0.1</v>
      </c>
      <c r="T30" s="12">
        <v>0.33</v>
      </c>
      <c r="W30" s="12">
        <v>0.5</v>
      </c>
      <c r="AG30" s="12">
        <v>2.4</v>
      </c>
      <c r="AP30" s="12">
        <v>0.4</v>
      </c>
      <c r="BO30" s="12">
        <f>77.1*0.27</f>
        <v>20.817</v>
      </c>
      <c r="BX30" s="12">
        <f>153*0.27</f>
        <v>41.31</v>
      </c>
      <c r="ED30" s="24"/>
      <c r="EH30" s="12">
        <f>75.6*0.27</f>
        <v>20.411999999999999</v>
      </c>
    </row>
    <row r="31" spans="1:139" s="12" customFormat="1" x14ac:dyDescent="0.2">
      <c r="A31" s="11" t="s">
        <v>6672</v>
      </c>
      <c r="B31" s="12" t="s">
        <v>6409</v>
      </c>
      <c r="C31" s="12" t="s">
        <v>6410</v>
      </c>
      <c r="D31" s="12" t="s">
        <v>6418</v>
      </c>
      <c r="E31" s="12" t="s">
        <v>7</v>
      </c>
      <c r="F31" s="12" t="s">
        <v>6412</v>
      </c>
      <c r="H31" s="12" t="s">
        <v>6419</v>
      </c>
      <c r="I31" s="12">
        <v>3</v>
      </c>
      <c r="J31" s="12" t="s">
        <v>6420</v>
      </c>
      <c r="K31" s="12">
        <v>2013</v>
      </c>
      <c r="L31" s="12" t="s">
        <v>6415</v>
      </c>
      <c r="M31" s="12" t="s">
        <v>6201</v>
      </c>
      <c r="N31" s="12">
        <v>1.1000000000000001</v>
      </c>
      <c r="Q31" s="12">
        <v>52.4</v>
      </c>
      <c r="R31" s="12">
        <v>3.24</v>
      </c>
      <c r="S31" s="12">
        <v>0.16</v>
      </c>
      <c r="T31" s="12">
        <v>0.53</v>
      </c>
      <c r="W31" s="12">
        <v>11.1</v>
      </c>
      <c r="AG31" s="12">
        <v>3.4</v>
      </c>
      <c r="AP31" s="12">
        <v>0.7</v>
      </c>
      <c r="BO31" s="12">
        <f>157.5*0.476</f>
        <v>74.97</v>
      </c>
      <c r="BX31" s="12">
        <f>300*0.476</f>
        <v>142.79999999999998</v>
      </c>
      <c r="ED31" s="24"/>
      <c r="EH31" s="12">
        <f>142.5*0.476</f>
        <v>67.83</v>
      </c>
    </row>
    <row r="32" spans="1:139" s="12" customFormat="1" x14ac:dyDescent="0.2">
      <c r="A32" s="11" t="s">
        <v>6673</v>
      </c>
      <c r="B32" s="12" t="s">
        <v>6421</v>
      </c>
      <c r="C32" s="12" t="s">
        <v>6422</v>
      </c>
      <c r="D32" s="12" t="s">
        <v>6423</v>
      </c>
      <c r="E32" s="12" t="s">
        <v>11</v>
      </c>
      <c r="F32" s="12" t="s">
        <v>6424</v>
      </c>
      <c r="H32" s="12" t="s">
        <v>6425</v>
      </c>
      <c r="I32" s="12">
        <v>20</v>
      </c>
      <c r="K32" s="12">
        <v>2004</v>
      </c>
      <c r="L32" s="12" t="s">
        <v>6426</v>
      </c>
      <c r="M32" s="12" t="s">
        <v>6201</v>
      </c>
      <c r="N32" s="12">
        <v>1.1000000000000001</v>
      </c>
      <c r="P32" s="12">
        <v>114</v>
      </c>
      <c r="Q32" s="12">
        <v>71.2</v>
      </c>
      <c r="T32" s="12">
        <v>0.5</v>
      </c>
      <c r="V32" s="12">
        <v>0.1</v>
      </c>
      <c r="X32" s="12">
        <v>25.8</v>
      </c>
      <c r="Y32" s="12">
        <v>27.7</v>
      </c>
      <c r="AA32" s="12">
        <v>24.1</v>
      </c>
      <c r="AG32" s="12">
        <v>1.9</v>
      </c>
      <c r="AH32" s="20"/>
      <c r="AL32" s="12">
        <v>1.6</v>
      </c>
      <c r="AM32" s="12">
        <v>0.4</v>
      </c>
      <c r="EI32" s="12">
        <v>0.2</v>
      </c>
    </row>
    <row r="33" spans="1:140" s="12" customFormat="1" x14ac:dyDescent="0.2">
      <c r="A33" s="11" t="s">
        <v>6674</v>
      </c>
      <c r="B33" s="12" t="s">
        <v>6427</v>
      </c>
      <c r="C33" s="12" t="s">
        <v>6428</v>
      </c>
      <c r="D33" s="12" t="s">
        <v>6429</v>
      </c>
      <c r="E33" s="12" t="s">
        <v>11</v>
      </c>
      <c r="F33" s="25" t="s">
        <v>6430</v>
      </c>
      <c r="H33" s="12" t="s">
        <v>6431</v>
      </c>
      <c r="I33" s="12">
        <v>20</v>
      </c>
      <c r="K33" s="12">
        <v>2004</v>
      </c>
      <c r="L33" s="12" t="s">
        <v>6426</v>
      </c>
      <c r="M33" s="12" t="s">
        <v>6201</v>
      </c>
      <c r="N33" s="12">
        <v>1.1000000000000001</v>
      </c>
      <c r="P33" s="12">
        <v>98</v>
      </c>
      <c r="Q33" s="20">
        <v>77</v>
      </c>
      <c r="T33" s="12">
        <v>2.2999999999999998</v>
      </c>
      <c r="V33" s="12">
        <v>0.1</v>
      </c>
      <c r="X33" s="12">
        <v>17.600000000000001</v>
      </c>
      <c r="Y33" s="12">
        <v>19.899999999999999</v>
      </c>
      <c r="AA33" s="12">
        <v>17.100000000000001</v>
      </c>
      <c r="AG33" s="12">
        <v>2.2999999999999998</v>
      </c>
      <c r="AH33" s="20"/>
      <c r="AL33" s="20">
        <v>2</v>
      </c>
      <c r="AM33" s="12">
        <v>0.2</v>
      </c>
      <c r="EI33" s="12">
        <v>0.4</v>
      </c>
    </row>
    <row r="34" spans="1:140" s="12" customFormat="1" x14ac:dyDescent="0.2">
      <c r="A34" s="11" t="s">
        <v>6675</v>
      </c>
      <c r="B34" s="12" t="s">
        <v>6432</v>
      </c>
      <c r="C34" s="12" t="s">
        <v>6433</v>
      </c>
      <c r="D34" s="12" t="s">
        <v>6434</v>
      </c>
      <c r="E34" s="12" t="s">
        <v>11</v>
      </c>
      <c r="F34" s="12" t="s">
        <v>6435</v>
      </c>
      <c r="H34" s="12" t="s">
        <v>6436</v>
      </c>
      <c r="I34" s="12">
        <v>20</v>
      </c>
      <c r="K34" s="12">
        <v>2004</v>
      </c>
      <c r="L34" s="12" t="s">
        <v>6426</v>
      </c>
      <c r="M34" s="12" t="s">
        <v>6201</v>
      </c>
      <c r="N34" s="12">
        <v>1.1000000000000001</v>
      </c>
      <c r="P34" s="12">
        <v>99</v>
      </c>
      <c r="Q34" s="20">
        <v>74.5</v>
      </c>
      <c r="T34" s="12">
        <v>1.3</v>
      </c>
      <c r="V34" s="12">
        <v>0.1</v>
      </c>
      <c r="X34" s="12">
        <v>20.7</v>
      </c>
      <c r="Y34" s="12">
        <v>23.2</v>
      </c>
      <c r="AA34" s="20">
        <v>19</v>
      </c>
      <c r="AG34" s="12">
        <v>2.5</v>
      </c>
      <c r="AH34" s="20"/>
      <c r="AL34" s="12">
        <v>2.2000000000000002</v>
      </c>
      <c r="AM34" s="12">
        <v>0.3</v>
      </c>
      <c r="EI34" s="12">
        <v>0.4</v>
      </c>
    </row>
    <row r="35" spans="1:140" s="12" customFormat="1" x14ac:dyDescent="0.2">
      <c r="A35" s="11" t="s">
        <v>6676</v>
      </c>
      <c r="B35" s="12" t="s">
        <v>6437</v>
      </c>
      <c r="D35" s="12" t="s">
        <v>6438</v>
      </c>
      <c r="E35" s="12" t="s">
        <v>11</v>
      </c>
      <c r="F35" s="12" t="s">
        <v>6297</v>
      </c>
      <c r="H35" s="12" t="s">
        <v>6439</v>
      </c>
      <c r="J35" s="12" t="s">
        <v>6440</v>
      </c>
      <c r="K35" s="12">
        <v>2013</v>
      </c>
      <c r="L35" s="12" t="s">
        <v>6441</v>
      </c>
      <c r="M35" s="12" t="s">
        <v>6201</v>
      </c>
      <c r="N35" s="12">
        <v>1.1000000000000001</v>
      </c>
      <c r="Q35" s="21">
        <v>11.9</v>
      </c>
      <c r="R35" s="12">
        <v>6.25</v>
      </c>
      <c r="T35" s="21">
        <v>1.3</v>
      </c>
      <c r="V35" s="12">
        <v>1.34</v>
      </c>
      <c r="X35" s="12">
        <v>81.37</v>
      </c>
      <c r="AH35" s="20"/>
      <c r="AJ35" s="12">
        <v>2.58</v>
      </c>
      <c r="ED35" s="12">
        <f>0.583*1000</f>
        <v>583</v>
      </c>
      <c r="EJ35" s="12">
        <v>5.8</v>
      </c>
    </row>
    <row r="36" spans="1:140" s="12" customFormat="1" x14ac:dyDescent="0.2">
      <c r="A36" s="11" t="s">
        <v>6677</v>
      </c>
      <c r="B36" s="12" t="s">
        <v>6437</v>
      </c>
      <c r="D36" s="12" t="s">
        <v>6442</v>
      </c>
      <c r="E36" s="12" t="s">
        <v>11</v>
      </c>
      <c r="F36" s="12" t="s">
        <v>6297</v>
      </c>
      <c r="H36" s="12" t="s">
        <v>6443</v>
      </c>
      <c r="J36" s="12" t="s">
        <v>6440</v>
      </c>
      <c r="K36" s="12">
        <v>2013</v>
      </c>
      <c r="L36" s="12" t="s">
        <v>6441</v>
      </c>
      <c r="M36" s="12" t="s">
        <v>6201</v>
      </c>
      <c r="N36" s="12">
        <v>1.1000000000000001</v>
      </c>
      <c r="Q36" s="12">
        <v>12.11</v>
      </c>
      <c r="R36" s="12">
        <v>6.25</v>
      </c>
      <c r="T36" s="12">
        <v>2.56</v>
      </c>
      <c r="V36" s="12">
        <v>1.47</v>
      </c>
      <c r="X36" s="12">
        <v>79.209999999999994</v>
      </c>
      <c r="AH36" s="20"/>
      <c r="AJ36" s="12">
        <v>2.79</v>
      </c>
      <c r="ED36" s="12">
        <f>0.641*1000</f>
        <v>641</v>
      </c>
      <c r="EJ36" s="12">
        <v>6.7</v>
      </c>
    </row>
    <row r="37" spans="1:140" s="12" customFormat="1" x14ac:dyDescent="0.2">
      <c r="A37" s="11" t="s">
        <v>6678</v>
      </c>
      <c r="B37" s="12" t="s">
        <v>6437</v>
      </c>
      <c r="D37" s="12" t="s">
        <v>6444</v>
      </c>
      <c r="E37" s="12" t="s">
        <v>11</v>
      </c>
      <c r="F37" s="12" t="s">
        <v>6297</v>
      </c>
      <c r="H37" s="12" t="s">
        <v>6445</v>
      </c>
      <c r="J37" s="12" t="s">
        <v>6440</v>
      </c>
      <c r="K37" s="12">
        <v>2013</v>
      </c>
      <c r="L37" s="12" t="s">
        <v>6441</v>
      </c>
      <c r="M37" s="12" t="s">
        <v>6201</v>
      </c>
      <c r="N37" s="12">
        <v>1.1000000000000001</v>
      </c>
      <c r="Q37" s="12">
        <v>10.24</v>
      </c>
      <c r="R37" s="12">
        <v>6.25</v>
      </c>
      <c r="T37" s="12">
        <v>1.51</v>
      </c>
      <c r="V37" s="21">
        <v>1.4</v>
      </c>
      <c r="X37" s="12">
        <v>82.08</v>
      </c>
      <c r="AH37" s="20"/>
      <c r="AJ37" s="12">
        <v>2.72</v>
      </c>
      <c r="ED37" s="12">
        <f>0.698*1000</f>
        <v>698</v>
      </c>
      <c r="EJ37" s="12">
        <v>6.2</v>
      </c>
    </row>
    <row r="38" spans="1:140" s="12" customFormat="1" x14ac:dyDescent="0.2">
      <c r="A38" s="11" t="s">
        <v>6679</v>
      </c>
      <c r="B38" s="12" t="s">
        <v>6446</v>
      </c>
      <c r="D38" s="12" t="s">
        <v>6447</v>
      </c>
      <c r="E38" s="12" t="s">
        <v>7</v>
      </c>
      <c r="F38" s="12" t="s">
        <v>6294</v>
      </c>
      <c r="I38" s="12">
        <v>1</v>
      </c>
      <c r="J38" s="12" t="s">
        <v>6448</v>
      </c>
      <c r="K38" s="12">
        <v>2006</v>
      </c>
      <c r="L38" s="12" t="s">
        <v>6449</v>
      </c>
      <c r="M38" s="12" t="s">
        <v>6201</v>
      </c>
      <c r="N38" s="12">
        <v>1.1000000000000001</v>
      </c>
      <c r="Q38" s="12">
        <v>60.4</v>
      </c>
      <c r="R38" s="12">
        <v>6.25</v>
      </c>
      <c r="T38" s="20">
        <v>0.7</v>
      </c>
      <c r="W38" s="20">
        <v>0.5</v>
      </c>
      <c r="Z38" s="12">
        <v>35.700000000000003</v>
      </c>
      <c r="AG38" s="12">
        <v>1.5</v>
      </c>
      <c r="AH38" s="20"/>
      <c r="AP38" s="20">
        <v>0.6</v>
      </c>
    </row>
    <row r="39" spans="1:140" s="12" customFormat="1" x14ac:dyDescent="0.2">
      <c r="A39" s="11" t="s">
        <v>6680</v>
      </c>
      <c r="B39" s="12" t="s">
        <v>6446</v>
      </c>
      <c r="D39" s="12" t="s">
        <v>6450</v>
      </c>
      <c r="E39" s="12" t="s">
        <v>11</v>
      </c>
      <c r="F39" s="12" t="s">
        <v>6294</v>
      </c>
      <c r="H39" s="12" t="s">
        <v>6451</v>
      </c>
      <c r="I39" s="12">
        <v>1</v>
      </c>
      <c r="J39" s="12" t="s">
        <v>6448</v>
      </c>
      <c r="K39" s="12">
        <v>2006</v>
      </c>
      <c r="L39" s="12" t="s">
        <v>6449</v>
      </c>
      <c r="M39" s="12" t="s">
        <v>6201</v>
      </c>
      <c r="N39" s="12">
        <v>1.1000000000000001</v>
      </c>
      <c r="Q39" s="12">
        <v>58.9</v>
      </c>
      <c r="R39" s="12">
        <v>6.25</v>
      </c>
      <c r="T39" s="20">
        <v>0.8</v>
      </c>
      <c r="W39" s="20">
        <v>0.5</v>
      </c>
      <c r="Z39" s="12">
        <v>37.799999999999997</v>
      </c>
      <c r="AG39" s="12">
        <v>2.8</v>
      </c>
      <c r="AH39" s="20"/>
      <c r="AP39" s="20">
        <v>0.7</v>
      </c>
    </row>
    <row r="40" spans="1:140" s="12" customFormat="1" x14ac:dyDescent="0.2">
      <c r="A40" s="11" t="s">
        <v>6681</v>
      </c>
      <c r="B40" s="12" t="s">
        <v>6446</v>
      </c>
      <c r="D40" s="12" t="s">
        <v>6452</v>
      </c>
      <c r="E40" s="12" t="s">
        <v>11</v>
      </c>
      <c r="F40" s="12" t="s">
        <v>6294</v>
      </c>
      <c r="I40" s="12">
        <v>1</v>
      </c>
      <c r="J40" s="12" t="s">
        <v>6448</v>
      </c>
      <c r="K40" s="12">
        <v>2006</v>
      </c>
      <c r="L40" s="12" t="s">
        <v>6449</v>
      </c>
      <c r="M40" s="12" t="s">
        <v>6201</v>
      </c>
      <c r="N40" s="12">
        <v>1.1000000000000001</v>
      </c>
      <c r="Q40" s="12">
        <v>67.5</v>
      </c>
      <c r="R40" s="12">
        <v>6.25</v>
      </c>
      <c r="T40" s="20">
        <v>0.6</v>
      </c>
      <c r="W40" s="20">
        <v>0.4</v>
      </c>
      <c r="Z40" s="12">
        <v>28.9</v>
      </c>
      <c r="AG40" s="12">
        <v>1.4</v>
      </c>
      <c r="AH40" s="20"/>
      <c r="AP40" s="20">
        <v>0.5</v>
      </c>
    </row>
    <row r="41" spans="1:140" s="12" customFormat="1" x14ac:dyDescent="0.2">
      <c r="A41" s="11" t="s">
        <v>6682</v>
      </c>
      <c r="B41" s="12" t="s">
        <v>1002</v>
      </c>
      <c r="C41" s="12" t="s">
        <v>6453</v>
      </c>
      <c r="D41" s="12" t="s">
        <v>6454</v>
      </c>
      <c r="E41" s="12" t="s">
        <v>11</v>
      </c>
      <c r="F41" s="12" t="s">
        <v>6455</v>
      </c>
      <c r="H41" s="12" t="s">
        <v>6456</v>
      </c>
      <c r="J41" s="12" t="s">
        <v>6457</v>
      </c>
      <c r="L41" s="12" t="s">
        <v>6458</v>
      </c>
      <c r="M41" s="12" t="s">
        <v>6201</v>
      </c>
      <c r="N41" s="12">
        <v>1.1000000000000001</v>
      </c>
      <c r="O41" s="13">
        <f>(100-Q41)/100*1615</f>
        <v>1424.43</v>
      </c>
      <c r="P41" s="13">
        <f>(100-Q41)/100*386</f>
        <v>340.452</v>
      </c>
      <c r="Q41" s="21">
        <v>11.8</v>
      </c>
      <c r="U41" s="21">
        <f>(100-Q41)/100*2.04</f>
        <v>1.79928</v>
      </c>
      <c r="W41" s="21"/>
      <c r="X41" s="20"/>
      <c r="AD41" s="20"/>
      <c r="AE41" s="21">
        <f>(100-Q41)/100*1.46</f>
        <v>1.28772</v>
      </c>
      <c r="AG41" s="21">
        <f>(100-Q41)/100*4.87</f>
        <v>4.2953400000000004</v>
      </c>
      <c r="AH41" s="20"/>
      <c r="AJ41" s="20"/>
      <c r="AP41" s="21">
        <f>(100-Q41)/100*2.05</f>
        <v>1.8080999999999998</v>
      </c>
      <c r="CJ41" s="21">
        <f>(100-Q41)/100*84.86</f>
        <v>74.846519999999998</v>
      </c>
      <c r="CK41" s="21">
        <f>(100-Q41)/100*4.01</f>
        <v>3.5368199999999996</v>
      </c>
      <c r="EJ41" s="21"/>
    </row>
    <row r="42" spans="1:140" s="12" customFormat="1" x14ac:dyDescent="0.2">
      <c r="A42" s="11" t="s">
        <v>6683</v>
      </c>
      <c r="B42" s="12" t="s">
        <v>1002</v>
      </c>
      <c r="C42" s="12" t="s">
        <v>6459</v>
      </c>
      <c r="D42" s="12" t="s">
        <v>6460</v>
      </c>
      <c r="E42" s="12" t="s">
        <v>11</v>
      </c>
      <c r="F42" s="12" t="s">
        <v>6455</v>
      </c>
      <c r="H42" s="12" t="s">
        <v>6461</v>
      </c>
      <c r="J42" s="12" t="s">
        <v>6457</v>
      </c>
      <c r="L42" s="12" t="s">
        <v>6458</v>
      </c>
      <c r="M42" s="12" t="s">
        <v>6201</v>
      </c>
      <c r="N42" s="12">
        <v>1.1000000000000001</v>
      </c>
      <c r="O42" s="13">
        <f>(100-Q42)/100*1707</f>
        <v>1536.3</v>
      </c>
      <c r="P42" s="13">
        <f>(100-Q42)/100*408</f>
        <v>367.2</v>
      </c>
      <c r="Q42" s="21">
        <v>10</v>
      </c>
      <c r="U42" s="21">
        <f>(100-Q42)/100*0.41</f>
        <v>0.36899999999999999</v>
      </c>
      <c r="W42" s="21"/>
      <c r="X42" s="20"/>
      <c r="AD42" s="20"/>
      <c r="AE42" s="21">
        <f>(100-Q42)/100*0</f>
        <v>0</v>
      </c>
      <c r="AG42" s="21">
        <f>(100-Q42)/100*0.4</f>
        <v>0.36000000000000004</v>
      </c>
      <c r="AH42" s="20"/>
      <c r="AJ42" s="20"/>
      <c r="AP42" s="21">
        <f>(100-Q42)/100*0.5</f>
        <v>0.45</v>
      </c>
      <c r="CJ42" s="21">
        <f>(100-Q42)/100*95.16</f>
        <v>85.644000000000005</v>
      </c>
      <c r="CK42" s="21">
        <f>(100-Q42)/100*0.03</f>
        <v>2.7E-2</v>
      </c>
      <c r="EJ42" s="21"/>
    </row>
    <row r="43" spans="1:140" s="12" customFormat="1" x14ac:dyDescent="0.2">
      <c r="A43" s="11" t="s">
        <v>6684</v>
      </c>
      <c r="B43" s="12" t="s">
        <v>1002</v>
      </c>
      <c r="C43" s="12" t="s">
        <v>6462</v>
      </c>
      <c r="D43" s="12" t="s">
        <v>6463</v>
      </c>
      <c r="E43" s="12" t="s">
        <v>11</v>
      </c>
      <c r="F43" s="12" t="s">
        <v>6455</v>
      </c>
      <c r="H43" s="12" t="s">
        <v>6464</v>
      </c>
      <c r="J43" s="12" t="s">
        <v>6457</v>
      </c>
      <c r="L43" s="12" t="s">
        <v>6458</v>
      </c>
      <c r="M43" s="12" t="s">
        <v>6201</v>
      </c>
      <c r="N43" s="12">
        <v>1.1000000000000001</v>
      </c>
      <c r="O43" s="13">
        <f>(100-Q43)/100*1636</f>
        <v>1439.68</v>
      </c>
      <c r="P43" s="13">
        <f>(100-Q43)/100*391</f>
        <v>344.08</v>
      </c>
      <c r="Q43" s="21">
        <v>12</v>
      </c>
      <c r="U43" s="21">
        <f>(100-Q43)/100*1.51</f>
        <v>1.3288</v>
      </c>
      <c r="W43" s="21"/>
      <c r="X43" s="20"/>
      <c r="AD43" s="20"/>
      <c r="AE43" s="21">
        <f>(100-Q43)/100*3.84</f>
        <v>3.3792</v>
      </c>
      <c r="AG43" s="21">
        <f>(100-Q43)/100*4.27</f>
        <v>3.7575999999999996</v>
      </c>
      <c r="AH43" s="20"/>
      <c r="AJ43" s="20"/>
      <c r="AP43" s="21">
        <f>(100-Q43)/100*1.79</f>
        <v>1.5751999999999999</v>
      </c>
      <c r="CJ43" s="21">
        <f>(100-Q43)/100*87.71</f>
        <v>77.184799999999996</v>
      </c>
      <c r="CK43" s="21">
        <f>(100-Q43)/100*2.84</f>
        <v>2.4992000000000001</v>
      </c>
      <c r="EJ43" s="21"/>
    </row>
    <row r="44" spans="1:140" s="12" customFormat="1" x14ac:dyDescent="0.2">
      <c r="A44" s="11" t="s">
        <v>6685</v>
      </c>
      <c r="B44" s="12" t="s">
        <v>1002</v>
      </c>
      <c r="C44" s="12" t="s">
        <v>6465</v>
      </c>
      <c r="D44" s="12" t="s">
        <v>6466</v>
      </c>
      <c r="E44" s="12" t="s">
        <v>11</v>
      </c>
      <c r="F44" s="12" t="s">
        <v>6455</v>
      </c>
      <c r="H44" s="12" t="s">
        <v>6467</v>
      </c>
      <c r="J44" s="12" t="s">
        <v>6457</v>
      </c>
      <c r="L44" s="12" t="s">
        <v>6458</v>
      </c>
      <c r="M44" s="12" t="s">
        <v>6201</v>
      </c>
      <c r="N44" s="12">
        <v>1.1000000000000001</v>
      </c>
      <c r="O44" s="13">
        <f>(100-Q44)/100*1745</f>
        <v>1586.2050000000002</v>
      </c>
      <c r="P44" s="13">
        <f>(100-Q44)/100*417</f>
        <v>379.053</v>
      </c>
      <c r="Q44" s="21">
        <v>9.1</v>
      </c>
      <c r="U44" s="21">
        <f>(100-Q44)/100*0.91</f>
        <v>0.82719000000000009</v>
      </c>
      <c r="W44" s="21"/>
      <c r="X44" s="20"/>
      <c r="AD44" s="20"/>
      <c r="AE44" s="21">
        <f>(100-Q44)/100*0.2</f>
        <v>0.18180000000000002</v>
      </c>
      <c r="AG44" s="21">
        <f>(100-Q44)/100*4.14</f>
        <v>3.7632599999999998</v>
      </c>
      <c r="AH44" s="20"/>
      <c r="AJ44" s="20"/>
      <c r="AP44" s="21">
        <f>(100-Q44)/100*0.6</f>
        <v>0.5454</v>
      </c>
      <c r="CJ44" s="21">
        <f>(100-Q44)/100*83.68</f>
        <v>76.065120000000007</v>
      </c>
      <c r="CK44" s="21">
        <f>(100-Q44)/100*1.46</f>
        <v>1.32714</v>
      </c>
      <c r="EJ44" s="21"/>
    </row>
    <row r="45" spans="1:140" s="12" customFormat="1" x14ac:dyDescent="0.2">
      <c r="A45" s="11" t="s">
        <v>6686</v>
      </c>
      <c r="B45" s="12" t="s">
        <v>1002</v>
      </c>
      <c r="C45" s="12" t="s">
        <v>6320</v>
      </c>
      <c r="D45" s="12" t="s">
        <v>6468</v>
      </c>
      <c r="E45" s="12" t="s">
        <v>11</v>
      </c>
      <c r="F45" s="12" t="s">
        <v>6455</v>
      </c>
      <c r="H45" s="12" t="s">
        <v>6469</v>
      </c>
      <c r="J45" s="12" t="s">
        <v>6457</v>
      </c>
      <c r="L45" s="12" t="s">
        <v>6458</v>
      </c>
      <c r="M45" s="12" t="s">
        <v>6201</v>
      </c>
      <c r="N45" s="12">
        <v>1.1000000000000001</v>
      </c>
      <c r="O45" s="13">
        <f>(100-Q45)/100*1578</f>
        <v>1436.2955999999999</v>
      </c>
      <c r="P45" s="13">
        <f>(100-Q45)/100*377</f>
        <v>343.1454</v>
      </c>
      <c r="Q45" s="12">
        <v>8.98</v>
      </c>
      <c r="U45" s="21">
        <f>(100-Q45)/100*2.56</f>
        <v>2.3301120000000002</v>
      </c>
      <c r="W45" s="21"/>
      <c r="X45" s="20"/>
      <c r="AD45" s="20"/>
      <c r="AE45" s="21">
        <f>(100-Q45)/100*0.49</f>
        <v>0.44599800000000001</v>
      </c>
      <c r="AG45" s="21">
        <f>(100-Q45)/100*3.98</f>
        <v>3.6225960000000001</v>
      </c>
      <c r="AH45" s="20"/>
      <c r="AJ45" s="20"/>
      <c r="AP45" s="21">
        <f>(100-Q45)/100*1.75</f>
        <v>1.5928500000000001</v>
      </c>
      <c r="CJ45" s="21">
        <f>(100-Q45)/100*84.18</f>
        <v>76.620636000000005</v>
      </c>
      <c r="CK45" s="21">
        <f>(100-Q45)/100*2.11</f>
        <v>1.9205219999999998</v>
      </c>
      <c r="EJ45" s="21"/>
    </row>
    <row r="46" spans="1:140" s="12" customFormat="1" x14ac:dyDescent="0.2">
      <c r="A46" s="11" t="s">
        <v>6687</v>
      </c>
      <c r="B46" s="12" t="s">
        <v>1002</v>
      </c>
      <c r="C46" s="12" t="s">
        <v>6470</v>
      </c>
      <c r="D46" s="12" t="s">
        <v>6471</v>
      </c>
      <c r="E46" s="12" t="s">
        <v>11</v>
      </c>
      <c r="F46" s="12" t="s">
        <v>6455</v>
      </c>
      <c r="H46" s="12" t="s">
        <v>6472</v>
      </c>
      <c r="J46" s="12" t="s">
        <v>6457</v>
      </c>
      <c r="L46" s="12" t="s">
        <v>6458</v>
      </c>
      <c r="M46" s="12" t="s">
        <v>6201</v>
      </c>
      <c r="N46" s="12">
        <v>1.1000000000000001</v>
      </c>
      <c r="O46" s="13">
        <f>(100-Q46)/100*1602</f>
        <v>1440.1980000000001</v>
      </c>
      <c r="P46" s="13">
        <f>(100-Q46)/100*383</f>
        <v>344.31700000000001</v>
      </c>
      <c r="Q46" s="21">
        <v>10.1</v>
      </c>
      <c r="U46" s="21">
        <f>(100-Q46)/100*3.68</f>
        <v>3.3083200000000001</v>
      </c>
      <c r="W46" s="21"/>
      <c r="X46" s="20"/>
      <c r="AD46" s="20"/>
      <c r="AE46" s="21">
        <f>(100-Q46)/100*0.57</f>
        <v>0.51242999999999994</v>
      </c>
      <c r="AG46" s="21">
        <f>(100-Q46)/100*3.87</f>
        <v>3.4791300000000001</v>
      </c>
      <c r="AH46" s="20"/>
      <c r="AJ46" s="20"/>
      <c r="AP46" s="21">
        <f>(100-Q46)/100*2.86</f>
        <v>2.5711399999999998</v>
      </c>
      <c r="CJ46" s="21">
        <f>(100-Q46)/100*82.11</f>
        <v>73.816890000000001</v>
      </c>
      <c r="CK46" s="21">
        <f>(100-Q46)/100*1.26</f>
        <v>1.1327400000000001</v>
      </c>
      <c r="EJ46" s="21"/>
    </row>
    <row r="47" spans="1:140" s="12" customFormat="1" x14ac:dyDescent="0.2">
      <c r="A47" s="11" t="s">
        <v>6688</v>
      </c>
      <c r="B47" s="12" t="s">
        <v>1002</v>
      </c>
      <c r="C47" s="12" t="s">
        <v>6300</v>
      </c>
      <c r="D47" s="12" t="s">
        <v>6473</v>
      </c>
      <c r="E47" s="12" t="s">
        <v>11</v>
      </c>
      <c r="F47" s="12" t="s">
        <v>6455</v>
      </c>
      <c r="H47" s="12" t="s">
        <v>6474</v>
      </c>
      <c r="J47" s="12" t="s">
        <v>6457</v>
      </c>
      <c r="L47" s="12" t="s">
        <v>6458</v>
      </c>
      <c r="M47" s="12" t="s">
        <v>6201</v>
      </c>
      <c r="N47" s="12">
        <v>1.1000000000000001</v>
      </c>
      <c r="O47" s="13">
        <f>(100-Q47)/100*1510</f>
        <v>1352.809</v>
      </c>
      <c r="P47" s="13">
        <f>(100-Q47)/100*361</f>
        <v>323.41989999999998</v>
      </c>
      <c r="Q47" s="12">
        <v>10.41</v>
      </c>
      <c r="U47" s="21">
        <f>(100-Q47)/100*1.43</f>
        <v>1.281137</v>
      </c>
      <c r="W47" s="21"/>
      <c r="X47" s="20"/>
      <c r="AD47" s="20"/>
      <c r="AE47" s="21">
        <f>(100-Q47)/100*0.41</f>
        <v>0.36731900000000001</v>
      </c>
      <c r="AG47" s="21">
        <f>(100-Q47)/100*3.18</f>
        <v>2.8489620000000002</v>
      </c>
      <c r="AH47" s="20"/>
      <c r="AJ47" s="20"/>
      <c r="AP47" s="21">
        <f>(100-Q47)/100*1.57</f>
        <v>1.406563</v>
      </c>
      <c r="CJ47" s="21">
        <f>(100-Q47)/100*88.69</f>
        <v>79.457370999999995</v>
      </c>
      <c r="CK47" s="21">
        <f>(100-Q47)/100*0.6</f>
        <v>0.53754000000000002</v>
      </c>
      <c r="EJ47" s="21"/>
    </row>
    <row r="48" spans="1:140" s="12" customFormat="1" x14ac:dyDescent="0.2">
      <c r="A48" s="11" t="s">
        <v>6689</v>
      </c>
      <c r="B48" s="12" t="s">
        <v>1002</v>
      </c>
      <c r="C48" s="12" t="s">
        <v>6475</v>
      </c>
      <c r="D48" s="12" t="s">
        <v>6476</v>
      </c>
      <c r="E48" s="12" t="s">
        <v>11</v>
      </c>
      <c r="F48" s="12" t="s">
        <v>6455</v>
      </c>
      <c r="H48" s="12" t="s">
        <v>6477</v>
      </c>
      <c r="J48" s="12" t="s">
        <v>6457</v>
      </c>
      <c r="L48" s="12" t="s">
        <v>6458</v>
      </c>
      <c r="M48" s="12" t="s">
        <v>6201</v>
      </c>
      <c r="N48" s="12">
        <v>1.1000000000000001</v>
      </c>
      <c r="O48" s="13">
        <f>(100-Q48)/100*1184</f>
        <v>1065.6000000000001</v>
      </c>
      <c r="P48" s="13">
        <f>(100-Q48)/100*283</f>
        <v>254.70000000000002</v>
      </c>
      <c r="Q48" s="21">
        <v>10</v>
      </c>
      <c r="U48" s="21">
        <f>(100-Q48)/100*1.14</f>
        <v>1.026</v>
      </c>
      <c r="W48" s="21"/>
      <c r="X48" s="20"/>
      <c r="AD48" s="20"/>
      <c r="AE48" s="21">
        <f>(100-Q48)/100*0.1</f>
        <v>9.0000000000000011E-2</v>
      </c>
      <c r="AG48" s="21">
        <f>(100-Q48)/100*12.68</f>
        <v>11.412000000000001</v>
      </c>
      <c r="AH48" s="20"/>
      <c r="AJ48" s="20"/>
      <c r="AP48" s="21">
        <f>(100-Q48)/100*5.36</f>
        <v>4.8240000000000007</v>
      </c>
      <c r="CJ48" s="21">
        <f>(100-Q48)/100*71.18</f>
        <v>64.062000000000012</v>
      </c>
      <c r="CK48" s="21">
        <f>(100-Q48)/100*0.2</f>
        <v>0.18000000000000002</v>
      </c>
      <c r="EJ48" s="21"/>
    </row>
    <row r="49" spans="1:146" s="12" customFormat="1" x14ac:dyDescent="0.2">
      <c r="A49" s="11" t="s">
        <v>6690</v>
      </c>
      <c r="B49" s="12" t="s">
        <v>6446</v>
      </c>
      <c r="D49" s="12" t="s">
        <v>6447</v>
      </c>
      <c r="E49" s="12" t="s">
        <v>7</v>
      </c>
      <c r="F49" s="12" t="s">
        <v>6294</v>
      </c>
      <c r="I49" s="12">
        <v>1</v>
      </c>
      <c r="J49" s="12" t="s">
        <v>6478</v>
      </c>
      <c r="K49" s="12">
        <v>2006</v>
      </c>
      <c r="L49" s="12" t="s">
        <v>6479</v>
      </c>
      <c r="M49" s="12" t="s">
        <v>6201</v>
      </c>
      <c r="N49" s="12">
        <v>1.1000000000000001</v>
      </c>
      <c r="O49" s="21"/>
      <c r="P49" s="21"/>
      <c r="T49" s="21"/>
      <c r="U49" s="20"/>
      <c r="W49" s="21"/>
      <c r="X49" s="20"/>
      <c r="AD49" s="20"/>
      <c r="AH49" s="20"/>
      <c r="AJ49" s="20"/>
      <c r="AP49" s="20"/>
      <c r="BI49" s="12">
        <v>0</v>
      </c>
      <c r="BO49" s="14" t="s">
        <v>6480</v>
      </c>
      <c r="CA49" s="12">
        <v>0.04</v>
      </c>
      <c r="CB49" s="12">
        <v>0.02</v>
      </c>
      <c r="CC49" s="12">
        <v>0.4</v>
      </c>
      <c r="CF49" s="12">
        <v>36</v>
      </c>
      <c r="EH49" s="14"/>
      <c r="EJ49" s="21"/>
    </row>
    <row r="50" spans="1:146" s="12" customFormat="1" x14ac:dyDescent="0.2">
      <c r="A50" s="11" t="s">
        <v>6691</v>
      </c>
      <c r="B50" s="12" t="s">
        <v>6446</v>
      </c>
      <c r="D50" s="12" t="s">
        <v>6450</v>
      </c>
      <c r="E50" s="12" t="s">
        <v>11</v>
      </c>
      <c r="F50" s="12" t="s">
        <v>6294</v>
      </c>
      <c r="H50" s="12" t="s">
        <v>6451</v>
      </c>
      <c r="I50" s="12">
        <v>1</v>
      </c>
      <c r="J50" s="12" t="s">
        <v>6478</v>
      </c>
      <c r="K50" s="12">
        <v>2006</v>
      </c>
      <c r="L50" s="12" t="s">
        <v>6479</v>
      </c>
      <c r="M50" s="12" t="s">
        <v>6201</v>
      </c>
      <c r="N50" s="12">
        <v>1.1000000000000001</v>
      </c>
      <c r="O50" s="21"/>
      <c r="P50" s="21"/>
      <c r="T50" s="21"/>
      <c r="U50" s="20"/>
      <c r="W50" s="21"/>
      <c r="X50" s="20"/>
      <c r="AD50" s="20"/>
      <c r="AH50" s="20"/>
      <c r="AJ50" s="20"/>
      <c r="AP50" s="20"/>
      <c r="CA50" s="12">
        <v>0</v>
      </c>
      <c r="CB50" s="12">
        <v>0</v>
      </c>
      <c r="CC50" s="12">
        <v>0.4</v>
      </c>
      <c r="CF50" s="12">
        <v>31</v>
      </c>
      <c r="EH50" s="14"/>
      <c r="EJ50" s="21"/>
    </row>
    <row r="51" spans="1:146" s="12" customFormat="1" x14ac:dyDescent="0.2">
      <c r="A51" s="11" t="s">
        <v>6692</v>
      </c>
      <c r="B51" s="12" t="s">
        <v>6446</v>
      </c>
      <c r="D51" s="12" t="s">
        <v>6452</v>
      </c>
      <c r="E51" s="12" t="s">
        <v>11</v>
      </c>
      <c r="F51" s="12" t="s">
        <v>6294</v>
      </c>
      <c r="I51" s="12">
        <v>1</v>
      </c>
      <c r="J51" s="12" t="s">
        <v>6478</v>
      </c>
      <c r="K51" s="12">
        <v>2006</v>
      </c>
      <c r="L51" s="12" t="s">
        <v>6479</v>
      </c>
      <c r="M51" s="12" t="s">
        <v>6201</v>
      </c>
      <c r="N51" s="12">
        <v>1.1000000000000001</v>
      </c>
      <c r="P51" s="21"/>
      <c r="T51" s="21"/>
      <c r="U51" s="20"/>
      <c r="W51" s="21"/>
      <c r="X51" s="20"/>
      <c r="AE51" s="20"/>
      <c r="AI51" s="20"/>
      <c r="AK51" s="20"/>
      <c r="AQ51" s="20"/>
      <c r="CB51" s="12">
        <v>0.02</v>
      </c>
      <c r="CC51" s="14" t="s">
        <v>6481</v>
      </c>
      <c r="CD51" s="12">
        <v>0.3</v>
      </c>
      <c r="CG51" s="12">
        <v>15</v>
      </c>
      <c r="EI51" s="14"/>
      <c r="EK51" s="21"/>
      <c r="EP51" s="21"/>
    </row>
    <row r="52" spans="1:146" s="34" customFormat="1" x14ac:dyDescent="0.2">
      <c r="A52" s="11" t="s">
        <v>7571</v>
      </c>
      <c r="B52" s="34" t="s">
        <v>7393</v>
      </c>
      <c r="D52" s="34" t="s">
        <v>7400</v>
      </c>
      <c r="E52" s="34" t="s">
        <v>11</v>
      </c>
      <c r="H52" s="34" t="s">
        <v>7405</v>
      </c>
      <c r="K52" s="34">
        <v>2000</v>
      </c>
      <c r="L52" s="34" t="s">
        <v>7409</v>
      </c>
      <c r="M52" s="34" t="s">
        <v>6201</v>
      </c>
      <c r="N52" s="12">
        <v>1.1000000000000001</v>
      </c>
      <c r="O52" s="34">
        <v>14.2</v>
      </c>
      <c r="R52" s="34">
        <v>6.25</v>
      </c>
      <c r="T52" s="34">
        <v>2.2222199999999996</v>
      </c>
      <c r="AA52" s="34">
        <v>68.811599999999999</v>
      </c>
      <c r="AF52" s="34">
        <v>5.2852800000000002</v>
      </c>
      <c r="CF52" s="34">
        <v>9.0175799999999988</v>
      </c>
      <c r="EJ52" s="34">
        <v>5.21</v>
      </c>
    </row>
    <row r="53" spans="1:146" s="34" customFormat="1" x14ac:dyDescent="0.2">
      <c r="A53" s="11" t="s">
        <v>7572</v>
      </c>
      <c r="B53" s="34" t="s">
        <v>7394</v>
      </c>
      <c r="D53" s="34" t="s">
        <v>7400</v>
      </c>
      <c r="E53" s="34" t="s">
        <v>11</v>
      </c>
      <c r="H53" s="34" t="s">
        <v>7406</v>
      </c>
      <c r="K53" s="34">
        <v>2000</v>
      </c>
      <c r="L53" s="34" t="s">
        <v>7409</v>
      </c>
      <c r="M53" s="34" t="s">
        <v>6201</v>
      </c>
      <c r="N53" s="12">
        <v>1.1000000000000001</v>
      </c>
      <c r="O53" s="34">
        <v>13.59</v>
      </c>
      <c r="R53" s="34">
        <v>6.25</v>
      </c>
      <c r="T53" s="34">
        <v>1.9183020000000002</v>
      </c>
      <c r="AA53" s="34">
        <v>67.572620000000001</v>
      </c>
      <c r="AF53" s="34">
        <v>5.9968539999999999</v>
      </c>
      <c r="CF53" s="34">
        <v>7.2670810000000001</v>
      </c>
      <c r="EJ53" s="34">
        <v>5.27</v>
      </c>
    </row>
    <row r="54" spans="1:146" s="34" customFormat="1" x14ac:dyDescent="0.2">
      <c r="A54" s="11" t="s">
        <v>7573</v>
      </c>
      <c r="B54" s="34" t="s">
        <v>7395</v>
      </c>
      <c r="D54" s="34" t="s">
        <v>7401</v>
      </c>
      <c r="E54" s="34" t="s">
        <v>11</v>
      </c>
      <c r="K54" s="34">
        <v>2000</v>
      </c>
      <c r="L54" s="34" t="s">
        <v>7409</v>
      </c>
      <c r="M54" s="34" t="s">
        <v>6201</v>
      </c>
      <c r="N54" s="12">
        <v>1.1000000000000001</v>
      </c>
      <c r="O54" s="34">
        <v>13.67</v>
      </c>
      <c r="R54" s="34">
        <v>6.25</v>
      </c>
      <c r="T54" s="34">
        <v>0.63884199999999991</v>
      </c>
      <c r="AA54" s="34">
        <v>61.725949999999997</v>
      </c>
      <c r="AF54" s="34">
        <v>2.5899000000000001</v>
      </c>
      <c r="CF54" s="34">
        <v>5.4301569999999995</v>
      </c>
      <c r="EJ54" s="34">
        <v>4.29</v>
      </c>
    </row>
    <row r="55" spans="1:146" s="34" customFormat="1" x14ac:dyDescent="0.2">
      <c r="A55" s="11" t="s">
        <v>7574</v>
      </c>
      <c r="B55" s="34" t="s">
        <v>7396</v>
      </c>
      <c r="C55" s="34" t="s">
        <v>7398</v>
      </c>
      <c r="D55" s="34" t="s">
        <v>7402</v>
      </c>
      <c r="E55" s="34" t="s">
        <v>7</v>
      </c>
      <c r="F55" s="34" t="s">
        <v>7403</v>
      </c>
      <c r="H55" s="34" t="s">
        <v>7407</v>
      </c>
      <c r="I55" s="34">
        <v>3</v>
      </c>
      <c r="J55" s="34" t="s">
        <v>7408</v>
      </c>
      <c r="K55" s="34">
        <v>2014</v>
      </c>
      <c r="L55" s="34" t="s">
        <v>7410</v>
      </c>
      <c r="M55" s="34" t="s">
        <v>7411</v>
      </c>
      <c r="N55" s="12">
        <v>1.1000000000000001</v>
      </c>
      <c r="O55" s="34">
        <v>81.11</v>
      </c>
      <c r="U55" s="34">
        <v>0.54969900000000005</v>
      </c>
      <c r="W55" s="34">
        <v>0.62903699999999996</v>
      </c>
      <c r="AK55" s="34">
        <v>1.290187</v>
      </c>
      <c r="AP55" s="34">
        <v>0.18323300000000001</v>
      </c>
    </row>
    <row r="56" spans="1:146" s="34" customFormat="1" x14ac:dyDescent="0.2">
      <c r="A56" s="11" t="s">
        <v>7575</v>
      </c>
      <c r="B56" s="34" t="s">
        <v>7397</v>
      </c>
      <c r="C56" s="34" t="s">
        <v>7399</v>
      </c>
      <c r="D56" s="34" t="s">
        <v>7404</v>
      </c>
      <c r="E56" s="34" t="s">
        <v>7</v>
      </c>
      <c r="F56" s="34" t="s">
        <v>7403</v>
      </c>
      <c r="H56" s="34" t="s">
        <v>7407</v>
      </c>
      <c r="I56" s="34">
        <v>3</v>
      </c>
      <c r="J56" s="34" t="s">
        <v>7408</v>
      </c>
      <c r="K56" s="34">
        <v>2014</v>
      </c>
      <c r="L56" s="34" t="s">
        <v>7410</v>
      </c>
      <c r="M56" s="34" t="s">
        <v>7411</v>
      </c>
      <c r="N56" s="12">
        <v>1.1000000000000001</v>
      </c>
      <c r="O56" s="34">
        <v>72.8</v>
      </c>
      <c r="U56" s="34">
        <v>1.2104000000000001</v>
      </c>
      <c r="W56" s="34">
        <v>0.72624000000000011</v>
      </c>
      <c r="AK56" s="34">
        <v>2.5132800000000004</v>
      </c>
      <c r="AP56" s="34">
        <v>0.89216000000000006</v>
      </c>
    </row>
  </sheetData>
  <pageMargins left="0.7" right="0.7" top="0.75" bottom="0.75" header="0.3" footer="0.3"/>
  <ignoredErrors>
    <ignoredError sqref="A45:A51" numberStoredAsText="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T14"/>
  <sheetViews>
    <sheetView zoomScaleNormal="100" workbookViewId="0"/>
  </sheetViews>
  <sheetFormatPr defaultColWidth="11.42578125" defaultRowHeight="12.75" x14ac:dyDescent="0.2"/>
  <cols>
    <col min="1" max="3" width="11.42578125" style="1"/>
    <col min="4" max="4" width="41" style="1" customWidth="1"/>
    <col min="5" max="23" width="11.42578125" style="1"/>
    <col min="24" max="24" width="11.5703125" style="1" customWidth="1"/>
    <col min="25" max="59" width="11.42578125" style="1"/>
    <col min="60" max="60" width="12.42578125" style="1" customWidth="1"/>
    <col min="61" max="16384" width="11.42578125" style="1"/>
  </cols>
  <sheetData>
    <row r="1" spans="1:228" s="4" customFormat="1" ht="30.6"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16" t="s">
        <v>243</v>
      </c>
      <c r="P1" s="16" t="s">
        <v>244</v>
      </c>
      <c r="Q1" s="4" t="s">
        <v>73</v>
      </c>
      <c r="R1" s="4" t="s">
        <v>74</v>
      </c>
      <c r="S1" s="4" t="s">
        <v>6212</v>
      </c>
      <c r="T1" s="4" t="s">
        <v>246</v>
      </c>
      <c r="U1" s="16" t="s">
        <v>1073</v>
      </c>
      <c r="V1" s="16" t="s">
        <v>76</v>
      </c>
      <c r="W1" s="16" t="s">
        <v>77</v>
      </c>
      <c r="X1" s="4" t="s">
        <v>79</v>
      </c>
      <c r="Y1" s="4" t="s">
        <v>6214</v>
      </c>
      <c r="Z1" s="16" t="s">
        <v>6215</v>
      </c>
      <c r="AA1" s="16" t="s">
        <v>7606</v>
      </c>
      <c r="AB1" s="4" t="s">
        <v>81</v>
      </c>
      <c r="AC1" s="4" t="s">
        <v>82</v>
      </c>
      <c r="AD1" s="16" t="s">
        <v>6221</v>
      </c>
      <c r="AE1" s="16" t="s">
        <v>6220</v>
      </c>
      <c r="AF1" s="4" t="s">
        <v>83</v>
      </c>
      <c r="AG1" s="4" t="s">
        <v>96</v>
      </c>
      <c r="AH1" s="4" t="s">
        <v>97</v>
      </c>
      <c r="AI1" s="4" t="s">
        <v>98</v>
      </c>
      <c r="AJ1" s="4" t="s">
        <v>99</v>
      </c>
      <c r="AK1" s="4" t="s">
        <v>100</v>
      </c>
      <c r="AL1" s="4" t="s">
        <v>101</v>
      </c>
      <c r="AM1" s="4" t="s">
        <v>84</v>
      </c>
      <c r="AN1" s="4" t="s">
        <v>85</v>
      </c>
      <c r="AO1" s="4" t="s">
        <v>86</v>
      </c>
      <c r="AP1" s="4" t="s">
        <v>87</v>
      </c>
      <c r="AQ1" s="4" t="s">
        <v>88</v>
      </c>
      <c r="AR1" s="4" t="s">
        <v>89</v>
      </c>
      <c r="AS1" s="16" t="s">
        <v>251</v>
      </c>
      <c r="AT1" s="4" t="s">
        <v>90</v>
      </c>
      <c r="AU1" s="16" t="s">
        <v>91</v>
      </c>
      <c r="AV1" s="4" t="s">
        <v>92</v>
      </c>
      <c r="AW1" s="4" t="s">
        <v>93</v>
      </c>
      <c r="AX1" s="4" t="s">
        <v>94</v>
      </c>
      <c r="AY1" s="4" t="s">
        <v>95</v>
      </c>
      <c r="AZ1" s="16" t="s">
        <v>262</v>
      </c>
      <c r="BA1" s="4" t="s">
        <v>102</v>
      </c>
      <c r="BB1" s="4" t="s">
        <v>104</v>
      </c>
      <c r="BC1" s="4" t="s">
        <v>105</v>
      </c>
      <c r="BD1" s="4" t="s">
        <v>106</v>
      </c>
      <c r="BE1" s="4" t="s">
        <v>107</v>
      </c>
      <c r="BF1" s="4" t="s">
        <v>108</v>
      </c>
      <c r="BG1" s="4" t="s">
        <v>109</v>
      </c>
      <c r="BH1" s="4" t="s">
        <v>6760</v>
      </c>
      <c r="BI1" s="4" t="s">
        <v>111</v>
      </c>
      <c r="BJ1" s="4" t="s">
        <v>103</v>
      </c>
      <c r="BK1" s="4" t="s">
        <v>78</v>
      </c>
      <c r="BL1" s="4" t="s">
        <v>112</v>
      </c>
      <c r="BM1" s="4" t="s">
        <v>113</v>
      </c>
      <c r="BN1" s="4" t="s">
        <v>114</v>
      </c>
      <c r="BO1" s="4" t="s">
        <v>115</v>
      </c>
      <c r="BP1" s="4" t="s">
        <v>116</v>
      </c>
      <c r="BQ1" s="4" t="s">
        <v>117</v>
      </c>
      <c r="BR1" s="4" t="s">
        <v>118</v>
      </c>
      <c r="BS1" s="16" t="s">
        <v>124</v>
      </c>
      <c r="BT1" s="16" t="s">
        <v>129</v>
      </c>
      <c r="BU1" s="16" t="s">
        <v>132</v>
      </c>
      <c r="BV1" s="4" t="s">
        <v>119</v>
      </c>
      <c r="BW1" s="4" t="s">
        <v>120</v>
      </c>
      <c r="BX1" s="4" t="s">
        <v>121</v>
      </c>
      <c r="BY1" s="4" t="s">
        <v>122</v>
      </c>
      <c r="BZ1" s="4" t="s">
        <v>123</v>
      </c>
      <c r="CA1" s="4" t="s">
        <v>124</v>
      </c>
      <c r="CB1" s="4" t="s">
        <v>125</v>
      </c>
      <c r="CC1" s="4" t="s">
        <v>126</v>
      </c>
      <c r="CD1" s="4" t="s">
        <v>127</v>
      </c>
      <c r="CE1" s="4" t="s">
        <v>128</v>
      </c>
      <c r="CF1" s="4" t="s">
        <v>129</v>
      </c>
      <c r="CG1" s="4" t="s">
        <v>130</v>
      </c>
      <c r="CH1" s="4" t="s">
        <v>131</v>
      </c>
      <c r="CI1" s="4" t="s">
        <v>132</v>
      </c>
      <c r="CJ1" s="4" t="s">
        <v>133</v>
      </c>
      <c r="CK1" s="4" t="s">
        <v>134</v>
      </c>
      <c r="CL1" s="4" t="s">
        <v>135</v>
      </c>
      <c r="CM1" s="4" t="s">
        <v>267</v>
      </c>
      <c r="CN1" s="4" t="s">
        <v>136</v>
      </c>
      <c r="CO1" s="4" t="s">
        <v>137</v>
      </c>
      <c r="CP1" s="4" t="s">
        <v>138</v>
      </c>
      <c r="CQ1" s="4" t="s">
        <v>139</v>
      </c>
      <c r="CR1" s="4" t="s">
        <v>140</v>
      </c>
      <c r="CS1" s="4" t="s">
        <v>141</v>
      </c>
      <c r="CT1" s="4" t="s">
        <v>142</v>
      </c>
      <c r="CU1" s="4" t="s">
        <v>143</v>
      </c>
      <c r="CV1" s="4" t="s">
        <v>144</v>
      </c>
      <c r="CW1" s="4" t="s">
        <v>145</v>
      </c>
      <c r="CX1" s="4" t="s">
        <v>146</v>
      </c>
      <c r="CY1" s="4" t="s">
        <v>147</v>
      </c>
      <c r="CZ1" s="4" t="s">
        <v>148</v>
      </c>
      <c r="DA1" s="4" t="s">
        <v>149</v>
      </c>
      <c r="DB1" s="4" t="s">
        <v>150</v>
      </c>
      <c r="DC1" s="4" t="s">
        <v>151</v>
      </c>
      <c r="DD1" s="16" t="s">
        <v>269</v>
      </c>
      <c r="DE1" s="16" t="s">
        <v>272</v>
      </c>
      <c r="DF1" s="16" t="s">
        <v>268</v>
      </c>
      <c r="DG1" s="4" t="s">
        <v>6804</v>
      </c>
      <c r="DH1" s="4" t="s">
        <v>6249</v>
      </c>
    </row>
    <row r="2" spans="1:228" ht="32.450000000000003" customHeight="1" x14ac:dyDescent="0.2">
      <c r="A2" s="5"/>
      <c r="B2" s="5" t="s">
        <v>152</v>
      </c>
      <c r="C2" s="5"/>
      <c r="D2" s="5"/>
      <c r="E2" s="5" t="s">
        <v>153</v>
      </c>
      <c r="F2" s="5"/>
      <c r="G2" s="5" t="s">
        <v>154</v>
      </c>
      <c r="H2" s="5" t="s">
        <v>155</v>
      </c>
      <c r="I2" s="5" t="s">
        <v>14</v>
      </c>
      <c r="J2" s="5"/>
      <c r="K2" s="5"/>
      <c r="L2" s="5"/>
      <c r="M2" s="5"/>
      <c r="N2" s="5"/>
      <c r="O2" s="43" t="s">
        <v>6714</v>
      </c>
      <c r="P2" s="43" t="s">
        <v>6714</v>
      </c>
      <c r="Q2" s="43" t="s">
        <v>6715</v>
      </c>
      <c r="R2" s="43" t="s">
        <v>276</v>
      </c>
      <c r="S2" s="43" t="s">
        <v>6716</v>
      </c>
      <c r="T2" s="43" t="s">
        <v>6717</v>
      </c>
      <c r="U2" s="43" t="s">
        <v>6718</v>
      </c>
      <c r="V2" s="43" t="s">
        <v>6719</v>
      </c>
      <c r="W2" s="43" t="s">
        <v>6720</v>
      </c>
      <c r="X2" s="43" t="s">
        <v>6721</v>
      </c>
      <c r="Y2" s="43" t="s">
        <v>6722</v>
      </c>
      <c r="Z2" s="43" t="s">
        <v>6723</v>
      </c>
      <c r="AA2" s="43" t="s">
        <v>6724</v>
      </c>
      <c r="AB2" s="43" t="s">
        <v>6747</v>
      </c>
      <c r="AC2" s="43" t="s">
        <v>6725</v>
      </c>
      <c r="AD2" s="43" t="s">
        <v>6798</v>
      </c>
      <c r="AE2" s="43" t="s">
        <v>6799</v>
      </c>
      <c r="AF2" s="43" t="s">
        <v>6748</v>
      </c>
      <c r="AG2" s="43" t="s">
        <v>6740</v>
      </c>
      <c r="AH2" s="43" t="s">
        <v>6749</v>
      </c>
      <c r="AI2" s="43" t="s">
        <v>6750</v>
      </c>
      <c r="AJ2" s="43" t="s">
        <v>6751</v>
      </c>
      <c r="AK2" s="43" t="s">
        <v>6752</v>
      </c>
      <c r="AL2" s="43" t="s">
        <v>6753</v>
      </c>
      <c r="AM2" s="43" t="s">
        <v>6726</v>
      </c>
      <c r="AN2" s="43" t="s">
        <v>6727</v>
      </c>
      <c r="AO2" s="43" t="s">
        <v>6728</v>
      </c>
      <c r="AP2" s="43" t="s">
        <v>6729</v>
      </c>
      <c r="AQ2" s="43" t="s">
        <v>6730</v>
      </c>
      <c r="AR2" s="43" t="s">
        <v>6731</v>
      </c>
      <c r="AS2" s="43" t="s">
        <v>6732</v>
      </c>
      <c r="AT2" s="43" t="s">
        <v>6733</v>
      </c>
      <c r="AU2" s="43" t="s">
        <v>6734</v>
      </c>
      <c r="AV2" s="43" t="s">
        <v>6735</v>
      </c>
      <c r="AW2" s="43" t="s">
        <v>6736</v>
      </c>
      <c r="AX2" s="43" t="s">
        <v>6737</v>
      </c>
      <c r="AY2" s="43" t="s">
        <v>6738</v>
      </c>
      <c r="AZ2" s="43" t="s">
        <v>6739</v>
      </c>
      <c r="BA2" s="43" t="s">
        <v>6754</v>
      </c>
      <c r="BB2" s="43" t="s">
        <v>6756</v>
      </c>
      <c r="BC2" s="43" t="s">
        <v>6757</v>
      </c>
      <c r="BD2" s="43" t="s">
        <v>6758</v>
      </c>
      <c r="BE2" s="43" t="s">
        <v>6759</v>
      </c>
      <c r="BF2" s="43" t="s">
        <v>192</v>
      </c>
      <c r="BG2" s="43" t="s">
        <v>193</v>
      </c>
      <c r="BH2" s="43" t="s">
        <v>194</v>
      </c>
      <c r="BI2" s="43" t="s">
        <v>6761</v>
      </c>
      <c r="BJ2" s="43" t="s">
        <v>6755</v>
      </c>
      <c r="BK2" s="43" t="s">
        <v>162</v>
      </c>
      <c r="BL2" s="43" t="s">
        <v>6762</v>
      </c>
      <c r="BM2" s="43" t="s">
        <v>6763</v>
      </c>
      <c r="BN2" s="43" t="s">
        <v>6764</v>
      </c>
      <c r="BO2" s="43" t="s">
        <v>6765</v>
      </c>
      <c r="BP2" s="43" t="s">
        <v>6741</v>
      </c>
      <c r="BQ2" s="43" t="s">
        <v>6766</v>
      </c>
      <c r="BR2" s="43" t="s">
        <v>6742</v>
      </c>
      <c r="BS2" s="43" t="s">
        <v>6743</v>
      </c>
      <c r="BT2" s="43" t="s">
        <v>6744</v>
      </c>
      <c r="BU2" s="43" t="s">
        <v>6745</v>
      </c>
      <c r="BV2" s="43" t="s">
        <v>6767</v>
      </c>
      <c r="BW2" s="43" t="s">
        <v>6768</v>
      </c>
      <c r="BX2" s="43" t="s">
        <v>6769</v>
      </c>
      <c r="BY2" s="43" t="s">
        <v>6770</v>
      </c>
      <c r="BZ2" s="44" t="s">
        <v>6771</v>
      </c>
      <c r="CA2" s="44" t="s">
        <v>6743</v>
      </c>
      <c r="CB2" s="44" t="s">
        <v>6772</v>
      </c>
      <c r="CC2" s="44" t="s">
        <v>6773</v>
      </c>
      <c r="CD2" s="44" t="s">
        <v>6774</v>
      </c>
      <c r="CE2" s="44" t="s">
        <v>6775</v>
      </c>
      <c r="CF2" s="44" t="s">
        <v>6744</v>
      </c>
      <c r="CG2" s="44" t="s">
        <v>6776</v>
      </c>
      <c r="CH2" s="44" t="s">
        <v>6777</v>
      </c>
      <c r="CI2" s="44" t="s">
        <v>6745</v>
      </c>
      <c r="CJ2" s="45" t="s">
        <v>6778</v>
      </c>
      <c r="CK2" s="45" t="s">
        <v>6779</v>
      </c>
      <c r="CL2" s="45" t="s">
        <v>6780</v>
      </c>
      <c r="CM2" s="45" t="s">
        <v>6797</v>
      </c>
      <c r="CN2" s="45" t="s">
        <v>6781</v>
      </c>
      <c r="CO2" s="45" t="s">
        <v>6782</v>
      </c>
      <c r="CP2" s="45" t="s">
        <v>6783</v>
      </c>
      <c r="CQ2" s="45" t="s">
        <v>6784</v>
      </c>
      <c r="CR2" s="45" t="s">
        <v>6785</v>
      </c>
      <c r="CS2" s="45" t="s">
        <v>6786</v>
      </c>
      <c r="CT2" s="45" t="s">
        <v>6787</v>
      </c>
      <c r="CU2" s="45" t="s">
        <v>6788</v>
      </c>
      <c r="CV2" s="45" t="s">
        <v>6789</v>
      </c>
      <c r="CW2" s="45" t="s">
        <v>6790</v>
      </c>
      <c r="CX2" s="45" t="s">
        <v>6791</v>
      </c>
      <c r="CY2" s="45" t="s">
        <v>6792</v>
      </c>
      <c r="CZ2" s="45" t="s">
        <v>6793</v>
      </c>
      <c r="DA2" s="45" t="s">
        <v>6794</v>
      </c>
      <c r="DB2" s="45" t="s">
        <v>6795</v>
      </c>
      <c r="DC2" s="5" t="s">
        <v>6796</v>
      </c>
      <c r="DD2" s="43" t="s">
        <v>6746</v>
      </c>
      <c r="DE2" s="43" t="s">
        <v>6800</v>
      </c>
      <c r="DF2" s="43" t="s">
        <v>6801</v>
      </c>
      <c r="DG2" s="43" t="s">
        <v>6802</v>
      </c>
      <c r="DH2" s="43" t="s">
        <v>6803</v>
      </c>
    </row>
    <row r="3" spans="1:228" s="5" customFormat="1" ht="58.5" hidden="1" customHeight="1" x14ac:dyDescent="0.2">
      <c r="O3" s="5" t="str">
        <f>IF(COUNTA(O4:O65536)=0,"","03")</f>
        <v/>
      </c>
      <c r="P3" s="5" t="str">
        <f t="shared" ref="P3:CA3" si="0">IF(COUNTA(P4:P65536)=0,"","03")</f>
        <v/>
      </c>
      <c r="Q3" s="5" t="str">
        <f t="shared" si="0"/>
        <v>03</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si="0"/>
        <v/>
      </c>
      <c r="AD3" s="5" t="str">
        <f t="shared" si="0"/>
        <v/>
      </c>
      <c r="AE3" s="5" t="str">
        <f t="shared" si="0"/>
        <v/>
      </c>
      <c r="AF3" s="5" t="str">
        <f t="shared" si="0"/>
        <v/>
      </c>
      <c r="AG3" s="5" t="str">
        <f t="shared" si="0"/>
        <v/>
      </c>
      <c r="AH3" s="5" t="str">
        <f t="shared" si="0"/>
        <v/>
      </c>
      <c r="AI3" s="5" t="str">
        <f t="shared" si="0"/>
        <v/>
      </c>
      <c r="AJ3" s="5" t="str">
        <f t="shared" si="0"/>
        <v/>
      </c>
      <c r="AK3" s="5" t="str">
        <f t="shared" si="0"/>
        <v/>
      </c>
      <c r="AL3" s="5" t="str">
        <f t="shared" si="0"/>
        <v/>
      </c>
      <c r="AM3" s="5" t="str">
        <f t="shared" si="0"/>
        <v/>
      </c>
      <c r="AN3" s="5" t="str">
        <f t="shared" si="0"/>
        <v>03</v>
      </c>
      <c r="AO3" s="5" t="str">
        <f t="shared" si="0"/>
        <v>03</v>
      </c>
      <c r="AP3" s="5" t="str">
        <f t="shared" si="0"/>
        <v/>
      </c>
      <c r="AQ3" s="5" t="str">
        <f t="shared" si="0"/>
        <v>03</v>
      </c>
      <c r="AR3" s="5" t="str">
        <f t="shared" si="0"/>
        <v>03</v>
      </c>
      <c r="AS3" s="5" t="str">
        <f t="shared" si="0"/>
        <v>03</v>
      </c>
      <c r="AT3" s="5" t="str">
        <f t="shared" si="0"/>
        <v>03</v>
      </c>
      <c r="AU3" s="5" t="str">
        <f t="shared" si="0"/>
        <v>03</v>
      </c>
      <c r="AV3" s="5" t="str">
        <f t="shared" si="0"/>
        <v>03</v>
      </c>
      <c r="AW3" s="5" t="str">
        <f t="shared" si="0"/>
        <v/>
      </c>
      <c r="AX3" s="5" t="str">
        <f t="shared" si="0"/>
        <v/>
      </c>
      <c r="AY3" s="5" t="str">
        <f t="shared" si="0"/>
        <v/>
      </c>
      <c r="AZ3" s="5" t="str">
        <f t="shared" si="0"/>
        <v/>
      </c>
      <c r="BA3" s="5" t="str">
        <f t="shared" si="0"/>
        <v/>
      </c>
      <c r="BB3" s="5" t="str">
        <f t="shared" si="0"/>
        <v/>
      </c>
      <c r="BC3" s="5" t="str">
        <f t="shared" si="0"/>
        <v/>
      </c>
      <c r="BD3" s="5" t="str">
        <f t="shared" si="0"/>
        <v/>
      </c>
      <c r="BE3" s="5" t="str">
        <f t="shared" si="0"/>
        <v/>
      </c>
      <c r="BF3" s="5" t="str">
        <f t="shared" si="0"/>
        <v/>
      </c>
      <c r="BG3" s="5" t="str">
        <f t="shared" si="0"/>
        <v/>
      </c>
      <c r="BH3" s="5" t="str">
        <f t="shared" si="0"/>
        <v/>
      </c>
      <c r="BI3" s="5" t="str">
        <f t="shared" si="0"/>
        <v/>
      </c>
      <c r="BJ3" s="5" t="str">
        <f t="shared" si="0"/>
        <v/>
      </c>
      <c r="BK3" s="5" t="str">
        <f t="shared" si="0"/>
        <v/>
      </c>
      <c r="BL3" s="5" t="str">
        <f t="shared" si="0"/>
        <v/>
      </c>
      <c r="BM3" s="5" t="str">
        <f t="shared" si="0"/>
        <v/>
      </c>
      <c r="BN3" s="5" t="str">
        <f t="shared" si="0"/>
        <v/>
      </c>
      <c r="BO3" s="5" t="str">
        <f t="shared" si="0"/>
        <v/>
      </c>
      <c r="BP3" s="5" t="str">
        <f t="shared" si="0"/>
        <v/>
      </c>
      <c r="BQ3" s="5" t="str">
        <f t="shared" si="0"/>
        <v/>
      </c>
      <c r="BR3" s="5" t="str">
        <f t="shared" si="0"/>
        <v/>
      </c>
      <c r="BS3" s="5" t="str">
        <f t="shared" si="0"/>
        <v/>
      </c>
      <c r="BT3" s="5" t="str">
        <f t="shared" si="0"/>
        <v/>
      </c>
      <c r="BU3" s="5" t="str">
        <f t="shared" si="0"/>
        <v/>
      </c>
      <c r="BV3" s="5" t="str">
        <f t="shared" si="0"/>
        <v/>
      </c>
      <c r="BW3" s="5" t="str">
        <f t="shared" si="0"/>
        <v/>
      </c>
      <c r="BX3" s="5" t="str">
        <f t="shared" si="0"/>
        <v/>
      </c>
      <c r="BY3" s="5" t="str">
        <f t="shared" si="0"/>
        <v/>
      </c>
      <c r="BZ3" s="5" t="str">
        <f t="shared" si="0"/>
        <v/>
      </c>
      <c r="CA3" s="5" t="str">
        <f t="shared" si="0"/>
        <v/>
      </c>
      <c r="CB3" s="5" t="str">
        <f t="shared" ref="CB3:EM3" si="1">IF(COUNTA(CB4:CB65536)=0,"","03")</f>
        <v/>
      </c>
      <c r="CC3" s="5" t="str">
        <f t="shared" si="1"/>
        <v/>
      </c>
      <c r="CD3" s="5" t="str">
        <f t="shared" si="1"/>
        <v/>
      </c>
      <c r="CE3" s="5" t="str">
        <f t="shared" si="1"/>
        <v/>
      </c>
      <c r="CF3" s="5" t="str">
        <f t="shared" si="1"/>
        <v/>
      </c>
      <c r="CG3" s="5" t="str">
        <f t="shared" si="1"/>
        <v/>
      </c>
      <c r="CH3" s="5" t="str">
        <f t="shared" si="1"/>
        <v/>
      </c>
      <c r="CI3" s="5" t="str">
        <f t="shared" si="1"/>
        <v/>
      </c>
      <c r="CJ3" s="5" t="str">
        <f t="shared" si="1"/>
        <v/>
      </c>
      <c r="CK3" s="5" t="str">
        <f t="shared" si="1"/>
        <v/>
      </c>
      <c r="CL3" s="5" t="str">
        <f t="shared" si="1"/>
        <v/>
      </c>
      <c r="CM3" s="5" t="str">
        <f t="shared" si="1"/>
        <v/>
      </c>
      <c r="CN3" s="5" t="str">
        <f t="shared" si="1"/>
        <v/>
      </c>
      <c r="CO3" s="5" t="str">
        <f t="shared" si="1"/>
        <v/>
      </c>
      <c r="CP3" s="5" t="str">
        <f t="shared" si="1"/>
        <v/>
      </c>
      <c r="CQ3" s="5" t="str">
        <f t="shared" si="1"/>
        <v/>
      </c>
      <c r="CR3" s="5" t="str">
        <f t="shared" si="1"/>
        <v/>
      </c>
      <c r="CS3" s="5" t="str">
        <f t="shared" si="1"/>
        <v/>
      </c>
      <c r="CT3" s="5" t="str">
        <f t="shared" si="1"/>
        <v/>
      </c>
      <c r="CU3" s="5" t="str">
        <f t="shared" si="1"/>
        <v/>
      </c>
      <c r="CV3" s="5" t="str">
        <f t="shared" si="1"/>
        <v/>
      </c>
      <c r="CW3" s="5" t="str">
        <f t="shared" si="1"/>
        <v/>
      </c>
      <c r="CX3" s="5" t="str">
        <f t="shared" si="1"/>
        <v/>
      </c>
      <c r="CY3" s="5" t="str">
        <f t="shared" si="1"/>
        <v/>
      </c>
      <c r="CZ3" s="5" t="str">
        <f t="shared" si="1"/>
        <v/>
      </c>
      <c r="DA3" s="5" t="str">
        <f t="shared" si="1"/>
        <v/>
      </c>
      <c r="DB3" s="5" t="str">
        <f t="shared" si="1"/>
        <v/>
      </c>
      <c r="DC3" s="5" t="str">
        <f t="shared" si="1"/>
        <v/>
      </c>
      <c r="DD3" s="5" t="str">
        <f t="shared" si="1"/>
        <v/>
      </c>
      <c r="DE3" s="5" t="str">
        <f t="shared" si="1"/>
        <v/>
      </c>
      <c r="DF3" s="5" t="str">
        <f t="shared" si="1"/>
        <v/>
      </c>
      <c r="DG3" s="5" t="str">
        <f t="shared" si="1"/>
        <v/>
      </c>
      <c r="DH3" s="5" t="str">
        <f t="shared" si="1"/>
        <v/>
      </c>
      <c r="DI3" s="5" t="str">
        <f t="shared" si="1"/>
        <v/>
      </c>
      <c r="DJ3" s="5" t="str">
        <f t="shared" si="1"/>
        <v/>
      </c>
      <c r="DK3" s="5" t="str">
        <f t="shared" si="1"/>
        <v/>
      </c>
      <c r="DL3" s="5" t="str">
        <f t="shared" si="1"/>
        <v/>
      </c>
      <c r="DM3" s="5" t="str">
        <f t="shared" si="1"/>
        <v/>
      </c>
      <c r="DN3" s="5" t="str">
        <f t="shared" si="1"/>
        <v/>
      </c>
      <c r="DO3" s="5" t="str">
        <f t="shared" si="1"/>
        <v/>
      </c>
      <c r="DP3" s="5" t="str">
        <f t="shared" si="1"/>
        <v/>
      </c>
      <c r="DQ3" s="5" t="str">
        <f t="shared" si="1"/>
        <v/>
      </c>
      <c r="DR3" s="5" t="str">
        <f t="shared" si="1"/>
        <v/>
      </c>
      <c r="DS3" s="5" t="str">
        <f t="shared" si="1"/>
        <v/>
      </c>
      <c r="DT3" s="5" t="str">
        <f t="shared" si="1"/>
        <v/>
      </c>
      <c r="DU3" s="5" t="str">
        <f t="shared" si="1"/>
        <v/>
      </c>
      <c r="DV3" s="5" t="str">
        <f t="shared" si="1"/>
        <v/>
      </c>
      <c r="DW3" s="5" t="str">
        <f t="shared" si="1"/>
        <v/>
      </c>
      <c r="DX3" s="5" t="str">
        <f t="shared" si="1"/>
        <v/>
      </c>
      <c r="DY3" s="5" t="str">
        <f t="shared" si="1"/>
        <v/>
      </c>
      <c r="DZ3" s="5" t="str">
        <f t="shared" si="1"/>
        <v/>
      </c>
      <c r="EA3" s="5" t="str">
        <f t="shared" si="1"/>
        <v/>
      </c>
      <c r="EB3" s="5" t="str">
        <f t="shared" si="1"/>
        <v/>
      </c>
      <c r="EC3" s="5" t="str">
        <f t="shared" si="1"/>
        <v/>
      </c>
      <c r="ED3" s="5" t="str">
        <f t="shared" si="1"/>
        <v/>
      </c>
      <c r="EE3" s="5" t="str">
        <f t="shared" si="1"/>
        <v/>
      </c>
      <c r="EF3" s="5" t="str">
        <f t="shared" si="1"/>
        <v/>
      </c>
      <c r="EG3" s="5" t="str">
        <f t="shared" si="1"/>
        <v/>
      </c>
      <c r="EH3" s="5" t="str">
        <f t="shared" si="1"/>
        <v/>
      </c>
      <c r="EI3" s="5" t="str">
        <f t="shared" si="1"/>
        <v/>
      </c>
      <c r="EJ3" s="5" t="str">
        <f t="shared" si="1"/>
        <v/>
      </c>
      <c r="EK3" s="5" t="str">
        <f t="shared" si="1"/>
        <v/>
      </c>
      <c r="EL3" s="5" t="str">
        <f t="shared" si="1"/>
        <v/>
      </c>
      <c r="EM3" s="5" t="str">
        <f t="shared" si="1"/>
        <v/>
      </c>
      <c r="EN3" s="5" t="str">
        <f t="shared" ref="EN3:GY3" si="2">IF(COUNTA(EN4:EN65536)=0,"","03")</f>
        <v/>
      </c>
      <c r="EO3" s="5" t="str">
        <f t="shared" si="2"/>
        <v/>
      </c>
      <c r="EP3" s="5" t="str">
        <f t="shared" si="2"/>
        <v/>
      </c>
      <c r="EQ3" s="5" t="str">
        <f t="shared" si="2"/>
        <v/>
      </c>
      <c r="ER3" s="5" t="str">
        <f t="shared" si="2"/>
        <v/>
      </c>
      <c r="ES3" s="5" t="str">
        <f t="shared" si="2"/>
        <v/>
      </c>
      <c r="ET3" s="5" t="str">
        <f t="shared" si="2"/>
        <v/>
      </c>
      <c r="EU3" s="5" t="str">
        <f t="shared" si="2"/>
        <v/>
      </c>
      <c r="EV3" s="5" t="str">
        <f t="shared" si="2"/>
        <v/>
      </c>
      <c r="EW3" s="5" t="str">
        <f t="shared" si="2"/>
        <v/>
      </c>
      <c r="EX3" s="5" t="str">
        <f t="shared" si="2"/>
        <v/>
      </c>
      <c r="EY3" s="5" t="str">
        <f t="shared" si="2"/>
        <v/>
      </c>
      <c r="EZ3" s="5" t="str">
        <f t="shared" si="2"/>
        <v/>
      </c>
      <c r="FA3" s="5" t="str">
        <f t="shared" si="2"/>
        <v/>
      </c>
      <c r="FB3" s="5" t="str">
        <f t="shared" si="2"/>
        <v/>
      </c>
      <c r="FC3" s="5" t="str">
        <f t="shared" si="2"/>
        <v/>
      </c>
      <c r="FD3" s="5" t="str">
        <f t="shared" si="2"/>
        <v/>
      </c>
      <c r="FE3" s="5" t="str">
        <f t="shared" si="2"/>
        <v/>
      </c>
      <c r="FF3" s="5" t="str">
        <f t="shared" si="2"/>
        <v/>
      </c>
      <c r="FG3" s="5" t="str">
        <f t="shared" si="2"/>
        <v/>
      </c>
      <c r="FH3" s="5" t="str">
        <f t="shared" si="2"/>
        <v/>
      </c>
      <c r="FI3" s="5" t="str">
        <f t="shared" si="2"/>
        <v/>
      </c>
      <c r="FJ3" s="5" t="str">
        <f t="shared" si="2"/>
        <v/>
      </c>
      <c r="FK3" s="5" t="str">
        <f t="shared" si="2"/>
        <v/>
      </c>
      <c r="FL3" s="5" t="str">
        <f t="shared" si="2"/>
        <v/>
      </c>
      <c r="FM3" s="5" t="str">
        <f t="shared" si="2"/>
        <v/>
      </c>
      <c r="FN3" s="5" t="str">
        <f t="shared" si="2"/>
        <v/>
      </c>
      <c r="FO3" s="5" t="str">
        <f t="shared" si="2"/>
        <v/>
      </c>
      <c r="FP3" s="5" t="str">
        <f t="shared" si="2"/>
        <v/>
      </c>
      <c r="FQ3" s="5" t="str">
        <f t="shared" si="2"/>
        <v/>
      </c>
      <c r="FR3" s="5" t="str">
        <f t="shared" si="2"/>
        <v/>
      </c>
      <c r="FS3" s="5" t="str">
        <f t="shared" si="2"/>
        <v/>
      </c>
      <c r="FT3" s="5" t="str">
        <f t="shared" si="2"/>
        <v/>
      </c>
      <c r="FU3" s="5" t="str">
        <f t="shared" si="2"/>
        <v/>
      </c>
      <c r="FV3" s="5" t="str">
        <f t="shared" si="2"/>
        <v/>
      </c>
      <c r="FW3" s="5" t="str">
        <f t="shared" si="2"/>
        <v/>
      </c>
      <c r="FX3" s="5" t="str">
        <f t="shared" si="2"/>
        <v/>
      </c>
      <c r="FY3" s="5" t="str">
        <f t="shared" si="2"/>
        <v/>
      </c>
      <c r="FZ3" s="5" t="str">
        <f t="shared" si="2"/>
        <v/>
      </c>
      <c r="GA3" s="5" t="str">
        <f t="shared" si="2"/>
        <v/>
      </c>
      <c r="GB3" s="5" t="str">
        <f t="shared" si="2"/>
        <v/>
      </c>
      <c r="GC3" s="5" t="str">
        <f t="shared" si="2"/>
        <v/>
      </c>
      <c r="GD3" s="5" t="str">
        <f t="shared" si="2"/>
        <v/>
      </c>
      <c r="GE3" s="5" t="str">
        <f t="shared" si="2"/>
        <v/>
      </c>
      <c r="GF3" s="5" t="str">
        <f t="shared" si="2"/>
        <v/>
      </c>
      <c r="GG3" s="5" t="str">
        <f t="shared" si="2"/>
        <v/>
      </c>
      <c r="GH3" s="5" t="str">
        <f t="shared" si="2"/>
        <v/>
      </c>
      <c r="GI3" s="5" t="str">
        <f t="shared" si="2"/>
        <v/>
      </c>
      <c r="GJ3" s="5" t="str">
        <f t="shared" si="2"/>
        <v/>
      </c>
      <c r="GK3" s="5" t="str">
        <f t="shared" si="2"/>
        <v/>
      </c>
      <c r="GL3" s="5" t="str">
        <f t="shared" si="2"/>
        <v/>
      </c>
      <c r="GM3" s="5" t="str">
        <f t="shared" si="2"/>
        <v/>
      </c>
      <c r="GN3" s="5" t="str">
        <f t="shared" si="2"/>
        <v/>
      </c>
      <c r="GO3" s="5" t="str">
        <f t="shared" si="2"/>
        <v/>
      </c>
      <c r="GP3" s="5" t="str">
        <f t="shared" si="2"/>
        <v/>
      </c>
      <c r="GQ3" s="5" t="str">
        <f t="shared" si="2"/>
        <v/>
      </c>
      <c r="GR3" s="5" t="str">
        <f t="shared" si="2"/>
        <v/>
      </c>
      <c r="GS3" s="5" t="str">
        <f t="shared" si="2"/>
        <v/>
      </c>
      <c r="GT3" s="5" t="str">
        <f t="shared" si="2"/>
        <v/>
      </c>
      <c r="GU3" s="5" t="str">
        <f t="shared" si="2"/>
        <v/>
      </c>
      <c r="GV3" s="5" t="str">
        <f t="shared" si="2"/>
        <v/>
      </c>
      <c r="GW3" s="5" t="str">
        <f t="shared" si="2"/>
        <v/>
      </c>
      <c r="GX3" s="5" t="str">
        <f t="shared" si="2"/>
        <v/>
      </c>
      <c r="GY3" s="5" t="str">
        <f t="shared" si="2"/>
        <v/>
      </c>
      <c r="GZ3" s="5" t="str">
        <f t="shared" ref="GZ3:HS3" si="3">IF(COUNTA(GZ4:GZ65536)=0,"","03")</f>
        <v/>
      </c>
      <c r="HA3" s="5" t="str">
        <f t="shared" si="3"/>
        <v/>
      </c>
      <c r="HB3" s="5" t="str">
        <f t="shared" si="3"/>
        <v/>
      </c>
      <c r="HC3" s="5" t="str">
        <f t="shared" si="3"/>
        <v/>
      </c>
      <c r="HD3" s="5" t="str">
        <f t="shared" si="3"/>
        <v/>
      </c>
      <c r="HE3" s="5" t="str">
        <f t="shared" si="3"/>
        <v/>
      </c>
      <c r="HF3" s="5" t="str">
        <f t="shared" si="3"/>
        <v/>
      </c>
      <c r="HG3" s="5" t="str">
        <f t="shared" si="3"/>
        <v/>
      </c>
      <c r="HH3" s="5" t="str">
        <f t="shared" si="3"/>
        <v/>
      </c>
      <c r="HI3" s="5" t="str">
        <f t="shared" si="3"/>
        <v/>
      </c>
      <c r="HJ3" s="5" t="str">
        <f t="shared" si="3"/>
        <v/>
      </c>
      <c r="HK3" s="5" t="str">
        <f t="shared" si="3"/>
        <v/>
      </c>
      <c r="HL3" s="5" t="str">
        <f t="shared" si="3"/>
        <v/>
      </c>
      <c r="HM3" s="5" t="str">
        <f t="shared" si="3"/>
        <v/>
      </c>
      <c r="HN3" s="5" t="str">
        <f t="shared" si="3"/>
        <v/>
      </c>
      <c r="HO3" s="5" t="str">
        <f t="shared" si="3"/>
        <v/>
      </c>
      <c r="HP3" s="5" t="str">
        <f t="shared" si="3"/>
        <v/>
      </c>
      <c r="HQ3" s="5" t="str">
        <f t="shared" si="3"/>
        <v/>
      </c>
      <c r="HR3" s="5" t="str">
        <f t="shared" si="3"/>
        <v/>
      </c>
      <c r="HS3" s="5" t="str">
        <f t="shared" si="3"/>
        <v/>
      </c>
      <c r="HT3" s="48"/>
    </row>
    <row r="4" spans="1:228" s="12" customFormat="1" x14ac:dyDescent="0.2">
      <c r="A4" s="11" t="s">
        <v>7576</v>
      </c>
      <c r="B4" s="12" t="s">
        <v>6195</v>
      </c>
      <c r="D4" s="12" t="s">
        <v>6276</v>
      </c>
      <c r="E4" s="12" t="s">
        <v>7</v>
      </c>
      <c r="F4" s="12" t="s">
        <v>6277</v>
      </c>
      <c r="G4" s="12" t="s">
        <v>6198</v>
      </c>
      <c r="J4" s="12" t="s">
        <v>6199</v>
      </c>
      <c r="K4" s="12">
        <v>1989</v>
      </c>
      <c r="L4" s="12" t="s">
        <v>6200</v>
      </c>
      <c r="M4" s="12" t="s">
        <v>6201</v>
      </c>
      <c r="N4" s="12">
        <v>1.1000000000000001</v>
      </c>
      <c r="Q4" s="12">
        <v>63</v>
      </c>
      <c r="AN4" s="14">
        <v>29</v>
      </c>
      <c r="AO4" s="12">
        <v>0.3</v>
      </c>
      <c r="AQ4" s="12">
        <v>660</v>
      </c>
      <c r="AR4" s="13">
        <v>74</v>
      </c>
      <c r="AS4" s="12">
        <v>0.7</v>
      </c>
      <c r="AT4" s="12">
        <v>17</v>
      </c>
      <c r="AU4" s="12">
        <v>161</v>
      </c>
      <c r="AV4" s="12">
        <v>1.3</v>
      </c>
    </row>
    <row r="5" spans="1:228" s="12" customFormat="1" x14ac:dyDescent="0.2">
      <c r="A5" s="11" t="s">
        <v>7577</v>
      </c>
      <c r="B5" s="12" t="s">
        <v>6195</v>
      </c>
      <c r="D5" s="12" t="s">
        <v>6278</v>
      </c>
      <c r="E5" s="12" t="s">
        <v>11</v>
      </c>
      <c r="F5" s="12" t="s">
        <v>6279</v>
      </c>
      <c r="G5" s="12" t="s">
        <v>6198</v>
      </c>
      <c r="J5" s="12" t="s">
        <v>6199</v>
      </c>
      <c r="K5" s="12">
        <v>1989</v>
      </c>
      <c r="L5" s="12" t="s">
        <v>6200</v>
      </c>
      <c r="M5" s="12" t="s">
        <v>6201</v>
      </c>
      <c r="N5" s="12">
        <v>1.1000000000000001</v>
      </c>
      <c r="Q5" s="12">
        <v>8</v>
      </c>
      <c r="AN5" s="14">
        <v>112</v>
      </c>
      <c r="AO5" s="12">
        <v>1.2</v>
      </c>
      <c r="AR5" s="13"/>
      <c r="AS5" s="12">
        <v>1.31</v>
      </c>
      <c r="AU5" s="12">
        <v>344</v>
      </c>
      <c r="AV5" s="12">
        <v>2.2000000000000002</v>
      </c>
    </row>
    <row r="6" spans="1:228" s="12" customFormat="1" x14ac:dyDescent="0.2">
      <c r="A6" s="11" t="s">
        <v>7578</v>
      </c>
      <c r="B6" s="12" t="s">
        <v>6195</v>
      </c>
      <c r="D6" s="12" t="s">
        <v>6280</v>
      </c>
      <c r="E6" s="12" t="s">
        <v>11</v>
      </c>
      <c r="F6" s="12" t="s">
        <v>6279</v>
      </c>
      <c r="G6" s="12" t="s">
        <v>6198</v>
      </c>
      <c r="J6" s="12" t="s">
        <v>6199</v>
      </c>
      <c r="K6" s="12">
        <v>1989</v>
      </c>
      <c r="L6" s="12" t="s">
        <v>6200</v>
      </c>
      <c r="M6" s="12" t="s">
        <v>6201</v>
      </c>
      <c r="N6" s="12">
        <v>1.1000000000000001</v>
      </c>
      <c r="Q6" s="12">
        <v>52</v>
      </c>
      <c r="AN6" s="14">
        <v>42</v>
      </c>
      <c r="AO6" s="12">
        <v>0.4</v>
      </c>
      <c r="AR6" s="13"/>
      <c r="AS6" s="12">
        <v>0.47</v>
      </c>
      <c r="AU6" s="12">
        <v>140</v>
      </c>
      <c r="AV6" s="12">
        <v>0.9</v>
      </c>
    </row>
    <row r="7" spans="1:228" s="12" customFormat="1" x14ac:dyDescent="0.2">
      <c r="A7" s="11" t="s">
        <v>7579</v>
      </c>
      <c r="B7" s="12" t="s">
        <v>6195</v>
      </c>
      <c r="D7" s="12" t="s">
        <v>6281</v>
      </c>
      <c r="E7" s="12" t="s">
        <v>11</v>
      </c>
      <c r="F7" s="12" t="s">
        <v>6282</v>
      </c>
      <c r="G7" s="12" t="s">
        <v>6198</v>
      </c>
      <c r="J7" s="12" t="s">
        <v>6199</v>
      </c>
      <c r="K7" s="12">
        <v>1989</v>
      </c>
      <c r="L7" s="12" t="s">
        <v>6200</v>
      </c>
      <c r="M7" s="12" t="s">
        <v>6201</v>
      </c>
      <c r="N7" s="12">
        <v>1.1000000000000001</v>
      </c>
      <c r="Q7" s="12">
        <v>11</v>
      </c>
      <c r="AN7" s="14">
        <v>90</v>
      </c>
      <c r="AO7" s="12">
        <v>0.7</v>
      </c>
      <c r="AQ7" s="12">
        <v>1397</v>
      </c>
      <c r="AR7" s="13">
        <v>172</v>
      </c>
      <c r="AS7" s="12">
        <v>1.42</v>
      </c>
      <c r="AT7" s="12">
        <v>27</v>
      </c>
      <c r="AU7" s="12">
        <v>440</v>
      </c>
      <c r="AV7" s="12">
        <v>3.3</v>
      </c>
    </row>
    <row r="8" spans="1:228" s="12" customFormat="1" x14ac:dyDescent="0.2">
      <c r="A8" s="11" t="s">
        <v>7580</v>
      </c>
      <c r="B8" s="12" t="s">
        <v>6195</v>
      </c>
      <c r="D8" s="12" t="s">
        <v>6283</v>
      </c>
      <c r="E8" s="12" t="s">
        <v>7</v>
      </c>
      <c r="F8" s="12" t="s">
        <v>6282</v>
      </c>
      <c r="G8" s="12" t="s">
        <v>6198</v>
      </c>
      <c r="J8" s="12" t="s">
        <v>6199</v>
      </c>
      <c r="K8" s="12">
        <v>1989</v>
      </c>
      <c r="L8" s="12" t="s">
        <v>6200</v>
      </c>
      <c r="M8" s="12" t="s">
        <v>6201</v>
      </c>
      <c r="N8" s="12">
        <v>1.1000000000000001</v>
      </c>
      <c r="Q8" s="12">
        <v>66</v>
      </c>
      <c r="AN8" s="14">
        <v>58</v>
      </c>
      <c r="AO8" s="12">
        <v>0.5</v>
      </c>
      <c r="AR8" s="13"/>
      <c r="AS8" s="12">
        <v>0.75</v>
      </c>
      <c r="AU8" s="12">
        <v>238</v>
      </c>
      <c r="AV8" s="12">
        <v>1.5</v>
      </c>
    </row>
    <row r="9" spans="1:228" s="12" customFormat="1" x14ac:dyDescent="0.2">
      <c r="A9" s="11" t="s">
        <v>7581</v>
      </c>
      <c r="B9" s="12" t="s">
        <v>6195</v>
      </c>
      <c r="D9" s="12" t="s">
        <v>6284</v>
      </c>
      <c r="E9" s="12" t="s">
        <v>11</v>
      </c>
      <c r="F9" s="12" t="s">
        <v>6285</v>
      </c>
      <c r="G9" s="12" t="s">
        <v>6198</v>
      </c>
      <c r="J9" s="12" t="s">
        <v>6199</v>
      </c>
      <c r="K9" s="12">
        <v>1989</v>
      </c>
      <c r="L9" s="12" t="s">
        <v>6200</v>
      </c>
      <c r="M9" s="12" t="s">
        <v>6201</v>
      </c>
      <c r="N9" s="12">
        <v>1.1000000000000001</v>
      </c>
      <c r="Q9" s="12">
        <v>67</v>
      </c>
      <c r="AN9" s="14">
        <v>24</v>
      </c>
      <c r="AO9" s="12">
        <v>0.6</v>
      </c>
      <c r="AQ9" s="12">
        <v>77</v>
      </c>
      <c r="AR9" s="13">
        <v>28</v>
      </c>
      <c r="AS9" s="12">
        <v>0.62</v>
      </c>
      <c r="AT9" s="12">
        <v>3</v>
      </c>
      <c r="AU9" s="12">
        <v>87</v>
      </c>
      <c r="AV9" s="12">
        <v>1.3</v>
      </c>
    </row>
    <row r="10" spans="1:228" s="12" customFormat="1" x14ac:dyDescent="0.2">
      <c r="A10" s="11" t="s">
        <v>7582</v>
      </c>
      <c r="B10" s="12" t="s">
        <v>6195</v>
      </c>
      <c r="D10" s="12" t="s">
        <v>6286</v>
      </c>
      <c r="E10" s="12" t="s">
        <v>11</v>
      </c>
      <c r="F10" s="12" t="s">
        <v>6287</v>
      </c>
      <c r="G10" s="12" t="s">
        <v>6198</v>
      </c>
      <c r="J10" s="12" t="s">
        <v>6199</v>
      </c>
      <c r="K10" s="12">
        <v>1989</v>
      </c>
      <c r="L10" s="12" t="s">
        <v>6200</v>
      </c>
      <c r="M10" s="12" t="s">
        <v>6201</v>
      </c>
      <c r="N10" s="12">
        <v>1.1000000000000001</v>
      </c>
      <c r="Q10" s="12">
        <v>68</v>
      </c>
      <c r="AN10" s="14">
        <v>23</v>
      </c>
      <c r="AO10" s="12">
        <v>0.2</v>
      </c>
      <c r="AQ10" s="12">
        <v>389</v>
      </c>
      <c r="AR10" s="13">
        <v>48</v>
      </c>
      <c r="AS10" s="12">
        <v>0.48</v>
      </c>
      <c r="AT10" s="12">
        <v>10</v>
      </c>
      <c r="AU10" s="12">
        <v>152</v>
      </c>
      <c r="AV10" s="12">
        <v>1</v>
      </c>
    </row>
    <row r="13" spans="1:228" s="12" customFormat="1" x14ac:dyDescent="0.2">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row>
    <row r="14" spans="1:228" s="12" customFormat="1" x14ac:dyDescent="0.2">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S5"/>
  <sheetViews>
    <sheetView workbookViewId="0">
      <pane ySplit="3" topLeftCell="A4" activePane="bottomLeft" state="frozen"/>
      <selection pane="bottomLeft"/>
    </sheetView>
  </sheetViews>
  <sheetFormatPr defaultColWidth="11.42578125" defaultRowHeight="12.75" x14ac:dyDescent="0.2"/>
  <cols>
    <col min="1" max="16384" width="11.42578125" style="1"/>
  </cols>
  <sheetData>
    <row r="1" spans="1:227" ht="58.5"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2" t="s">
        <v>73</v>
      </c>
      <c r="P1" s="2" t="s">
        <v>74</v>
      </c>
      <c r="Q1" s="2" t="s">
        <v>1071</v>
      </c>
      <c r="R1" s="2" t="s">
        <v>6212</v>
      </c>
      <c r="S1" s="2" t="s">
        <v>246</v>
      </c>
      <c r="T1" s="2" t="s">
        <v>1073</v>
      </c>
      <c r="U1" s="2" t="s">
        <v>76</v>
      </c>
      <c r="V1" s="2" t="s">
        <v>77</v>
      </c>
      <c r="W1" s="2" t="s">
        <v>79</v>
      </c>
      <c r="X1" s="2" t="s">
        <v>6213</v>
      </c>
      <c r="Y1" s="2" t="s">
        <v>6214</v>
      </c>
      <c r="Z1" s="2" t="s">
        <v>247</v>
      </c>
      <c r="AA1" s="2" t="s">
        <v>6215</v>
      </c>
      <c r="AB1" s="2" t="s">
        <v>6216</v>
      </c>
      <c r="AC1" s="2" t="s">
        <v>81</v>
      </c>
      <c r="AD1" s="2" t="s">
        <v>248</v>
      </c>
      <c r="AE1" s="2" t="s">
        <v>6217</v>
      </c>
      <c r="AF1" s="2" t="s">
        <v>6218</v>
      </c>
      <c r="AG1" s="2" t="s">
        <v>6219</v>
      </c>
      <c r="AH1" s="2" t="s">
        <v>6220</v>
      </c>
      <c r="AI1" s="2" t="s">
        <v>6221</v>
      </c>
      <c r="AJ1" s="2" t="s">
        <v>82</v>
      </c>
      <c r="AK1" s="2" t="s">
        <v>83</v>
      </c>
      <c r="AL1" s="2" t="s">
        <v>6222</v>
      </c>
      <c r="AM1" s="2" t="s">
        <v>6223</v>
      </c>
      <c r="AN1" s="2" t="s">
        <v>6224</v>
      </c>
      <c r="AO1" s="2" t="s">
        <v>6225</v>
      </c>
      <c r="AP1" s="2" t="s">
        <v>84</v>
      </c>
      <c r="AQ1" s="2" t="s">
        <v>85</v>
      </c>
      <c r="AR1" s="2" t="s">
        <v>1082</v>
      </c>
      <c r="AS1" s="2" t="s">
        <v>1083</v>
      </c>
      <c r="AT1" s="2" t="s">
        <v>86</v>
      </c>
      <c r="AU1" s="2" t="s">
        <v>87</v>
      </c>
      <c r="AV1" s="2" t="s">
        <v>88</v>
      </c>
      <c r="AW1" s="2" t="s">
        <v>89</v>
      </c>
      <c r="AX1" s="2" t="s">
        <v>251</v>
      </c>
      <c r="AY1" s="2" t="s">
        <v>90</v>
      </c>
      <c r="AZ1" s="2" t="s">
        <v>1087</v>
      </c>
      <c r="BA1" s="2" t="s">
        <v>91</v>
      </c>
      <c r="BB1" s="2" t="s">
        <v>1088</v>
      </c>
      <c r="BC1" s="2" t="s">
        <v>1089</v>
      </c>
      <c r="BD1" s="2" t="s">
        <v>92</v>
      </c>
      <c r="BE1" s="2" t="s">
        <v>252</v>
      </c>
      <c r="BF1" s="2" t="s">
        <v>6226</v>
      </c>
      <c r="BG1" s="2" t="s">
        <v>6227</v>
      </c>
      <c r="BH1" s="2" t="s">
        <v>253</v>
      </c>
      <c r="BI1" s="2" t="s">
        <v>254</v>
      </c>
      <c r="BJ1" s="2" t="s">
        <v>1098</v>
      </c>
      <c r="BK1" s="2" t="s">
        <v>6228</v>
      </c>
      <c r="BL1" s="2" t="s">
        <v>255</v>
      </c>
      <c r="BM1" s="2" t="s">
        <v>6229</v>
      </c>
      <c r="BN1" s="2" t="s">
        <v>1102</v>
      </c>
      <c r="BO1" s="2" t="s">
        <v>256</v>
      </c>
      <c r="BP1" s="2" t="s">
        <v>6230</v>
      </c>
      <c r="BQ1" s="2" t="s">
        <v>7190</v>
      </c>
      <c r="BR1" s="2" t="s">
        <v>6232</v>
      </c>
      <c r="BS1" s="2" t="s">
        <v>258</v>
      </c>
      <c r="BT1" s="2" t="s">
        <v>6233</v>
      </c>
      <c r="BU1" s="2" t="s">
        <v>259</v>
      </c>
      <c r="BV1" s="2" t="s">
        <v>260</v>
      </c>
      <c r="BW1" s="2" t="s">
        <v>6234</v>
      </c>
      <c r="BX1" s="2" t="s">
        <v>6235</v>
      </c>
      <c r="BY1" s="2" t="s">
        <v>6236</v>
      </c>
      <c r="BZ1" s="2" t="s">
        <v>6237</v>
      </c>
      <c r="CA1" s="2" t="s">
        <v>93</v>
      </c>
      <c r="CB1" s="2" t="s">
        <v>94</v>
      </c>
      <c r="CC1" s="2" t="s">
        <v>1107</v>
      </c>
      <c r="CD1" s="2" t="s">
        <v>95</v>
      </c>
      <c r="CE1" s="2" t="s">
        <v>1113</v>
      </c>
      <c r="CF1" s="2" t="s">
        <v>262</v>
      </c>
      <c r="CG1" s="2" t="s">
        <v>263</v>
      </c>
      <c r="CH1" s="2" t="s">
        <v>264</v>
      </c>
      <c r="CI1" s="2" t="s">
        <v>96</v>
      </c>
      <c r="CJ1" s="2" t="s">
        <v>97</v>
      </c>
      <c r="CK1" s="2" t="s">
        <v>1115</v>
      </c>
      <c r="CL1" s="2" t="s">
        <v>133</v>
      </c>
      <c r="CM1" s="2" t="s">
        <v>134</v>
      </c>
      <c r="CN1" s="2" t="s">
        <v>135</v>
      </c>
      <c r="CO1" s="2" t="s">
        <v>267</v>
      </c>
      <c r="CP1" s="2" t="s">
        <v>136</v>
      </c>
      <c r="CQ1" s="2" t="s">
        <v>1119</v>
      </c>
      <c r="CR1" s="2" t="s">
        <v>137</v>
      </c>
      <c r="CS1" s="2" t="s">
        <v>138</v>
      </c>
      <c r="CT1" s="2" t="s">
        <v>139</v>
      </c>
      <c r="CU1" s="2" t="s">
        <v>140</v>
      </c>
      <c r="CV1" s="2" t="s">
        <v>141</v>
      </c>
      <c r="CW1" s="2" t="s">
        <v>142</v>
      </c>
      <c r="CX1" s="2" t="s">
        <v>143</v>
      </c>
      <c r="CY1" s="2" t="s">
        <v>144</v>
      </c>
      <c r="CZ1" s="2" t="s">
        <v>145</v>
      </c>
      <c r="DA1" s="2" t="s">
        <v>146</v>
      </c>
      <c r="DB1" s="2" t="s">
        <v>147</v>
      </c>
      <c r="DC1" s="2" t="s">
        <v>148</v>
      </c>
      <c r="DD1" s="2" t="s">
        <v>149</v>
      </c>
      <c r="DE1" s="2" t="s">
        <v>150</v>
      </c>
      <c r="DF1" s="2" t="s">
        <v>6238</v>
      </c>
      <c r="DG1" s="2" t="s">
        <v>6239</v>
      </c>
      <c r="DH1" s="2" t="s">
        <v>269</v>
      </c>
      <c r="DI1" s="2" t="s">
        <v>268</v>
      </c>
      <c r="DJ1" s="2" t="s">
        <v>6240</v>
      </c>
      <c r="DK1" s="2" t="s">
        <v>6241</v>
      </c>
      <c r="DL1" s="2" t="s">
        <v>6242</v>
      </c>
      <c r="DM1" s="2" t="s">
        <v>6243</v>
      </c>
      <c r="DN1" s="2" t="s">
        <v>6244</v>
      </c>
      <c r="DO1" s="2" t="s">
        <v>6245</v>
      </c>
      <c r="DP1" s="2" t="s">
        <v>6246</v>
      </c>
      <c r="DQ1" s="2" t="s">
        <v>6247</v>
      </c>
      <c r="DR1" s="2" t="s">
        <v>6248</v>
      </c>
      <c r="DS1" s="2" t="s">
        <v>6249</v>
      </c>
      <c r="DT1" s="2" t="s">
        <v>6250</v>
      </c>
      <c r="DU1" s="2" t="s">
        <v>6251</v>
      </c>
      <c r="DV1" s="2" t="s">
        <v>6252</v>
      </c>
      <c r="DW1" s="2" t="s">
        <v>6253</v>
      </c>
      <c r="DX1" s="2" t="s">
        <v>6254</v>
      </c>
      <c r="DY1" s="2" t="s">
        <v>6255</v>
      </c>
      <c r="DZ1" s="2" t="s">
        <v>6256</v>
      </c>
      <c r="EA1" s="2" t="s">
        <v>272</v>
      </c>
      <c r="EB1" s="2" t="s">
        <v>6257</v>
      </c>
      <c r="EC1" s="2" t="s">
        <v>6258</v>
      </c>
      <c r="ED1" s="2" t="s">
        <v>6259</v>
      </c>
      <c r="EE1" s="2" t="s">
        <v>6260</v>
      </c>
      <c r="EF1" s="2" t="s">
        <v>7461</v>
      </c>
      <c r="EG1" s="2" t="s">
        <v>7464</v>
      </c>
      <c r="EH1" s="2" t="s">
        <v>6261</v>
      </c>
      <c r="EI1" s="2" t="s">
        <v>257</v>
      </c>
      <c r="EJ1" s="2" t="s">
        <v>6262</v>
      </c>
      <c r="EK1" s="2" t="s">
        <v>6263</v>
      </c>
      <c r="EL1" s="2" t="s">
        <v>6264</v>
      </c>
      <c r="EM1" s="2" t="s">
        <v>6265</v>
      </c>
      <c r="EN1" s="2" t="s">
        <v>6266</v>
      </c>
      <c r="EO1" s="2"/>
      <c r="EP1" s="2"/>
      <c r="EQ1" s="2"/>
    </row>
    <row r="2" spans="1:227" ht="58.5" customHeight="1" x14ac:dyDescent="0.2">
      <c r="A2" s="5"/>
      <c r="B2" s="5" t="s">
        <v>152</v>
      </c>
      <c r="C2" s="5"/>
      <c r="D2" s="5"/>
      <c r="E2" s="5" t="s">
        <v>153</v>
      </c>
      <c r="F2" s="5"/>
      <c r="G2" s="5" t="s">
        <v>154</v>
      </c>
      <c r="H2" s="5" t="s">
        <v>155</v>
      </c>
      <c r="I2" s="5" t="s">
        <v>14</v>
      </c>
      <c r="J2" s="5"/>
      <c r="K2" s="5"/>
      <c r="L2" s="5"/>
      <c r="M2" s="5"/>
      <c r="N2" s="5"/>
    </row>
    <row r="3" spans="1:227" s="61" customFormat="1" ht="58.5" hidden="1" customHeight="1" x14ac:dyDescent="0.2">
      <c r="O3" s="61" t="str">
        <f>IF(COUNTA(O4:O65536)=0,"","04")</f>
        <v>04</v>
      </c>
      <c r="P3" s="61" t="str">
        <f t="shared" ref="P3:CA3" si="0">IF(COUNTA(P4:P65536)=0,"","04")</f>
        <v/>
      </c>
      <c r="Q3" s="61" t="str">
        <f t="shared" si="0"/>
        <v/>
      </c>
      <c r="R3" s="61" t="str">
        <f t="shared" si="0"/>
        <v/>
      </c>
      <c r="S3" s="61" t="str">
        <f t="shared" si="0"/>
        <v/>
      </c>
      <c r="T3" s="61" t="str">
        <f t="shared" si="0"/>
        <v/>
      </c>
      <c r="U3" s="61" t="str">
        <f t="shared" si="0"/>
        <v/>
      </c>
      <c r="V3" s="61" t="str">
        <f t="shared" si="0"/>
        <v/>
      </c>
      <c r="W3" s="61" t="str">
        <f t="shared" si="0"/>
        <v/>
      </c>
      <c r="X3" s="61" t="str">
        <f t="shared" si="0"/>
        <v/>
      </c>
      <c r="Y3" s="61" t="str">
        <f t="shared" si="0"/>
        <v/>
      </c>
      <c r="Z3" s="61" t="str">
        <f t="shared" si="0"/>
        <v/>
      </c>
      <c r="AA3" s="61" t="str">
        <f t="shared" si="0"/>
        <v/>
      </c>
      <c r="AB3" s="61" t="str">
        <f t="shared" si="0"/>
        <v/>
      </c>
      <c r="AC3" s="61" t="str">
        <f t="shared" si="0"/>
        <v/>
      </c>
      <c r="AD3" s="61" t="str">
        <f t="shared" si="0"/>
        <v/>
      </c>
      <c r="AE3" s="61" t="str">
        <f t="shared" si="0"/>
        <v/>
      </c>
      <c r="AF3" s="61" t="str">
        <f t="shared" si="0"/>
        <v/>
      </c>
      <c r="AG3" s="61" t="str">
        <f t="shared" si="0"/>
        <v/>
      </c>
      <c r="AH3" s="61" t="str">
        <f t="shared" si="0"/>
        <v/>
      </c>
      <c r="AI3" s="61" t="str">
        <f t="shared" si="0"/>
        <v/>
      </c>
      <c r="AJ3" s="61" t="str">
        <f t="shared" si="0"/>
        <v/>
      </c>
      <c r="AK3" s="61" t="str">
        <f t="shared" si="0"/>
        <v/>
      </c>
      <c r="AL3" s="61" t="str">
        <f t="shared" si="0"/>
        <v/>
      </c>
      <c r="AM3" s="61" t="str">
        <f t="shared" si="0"/>
        <v/>
      </c>
      <c r="AN3" s="61" t="str">
        <f t="shared" si="0"/>
        <v/>
      </c>
      <c r="AO3" s="61" t="str">
        <f t="shared" si="0"/>
        <v/>
      </c>
      <c r="AP3" s="61" t="str">
        <f t="shared" si="0"/>
        <v/>
      </c>
      <c r="AQ3" s="61" t="str">
        <f t="shared" si="0"/>
        <v>04</v>
      </c>
      <c r="AR3" s="61" t="str">
        <f t="shared" si="0"/>
        <v/>
      </c>
      <c r="AS3" s="61" t="str">
        <f t="shared" si="0"/>
        <v/>
      </c>
      <c r="AT3" s="61" t="str">
        <f t="shared" si="0"/>
        <v>04</v>
      </c>
      <c r="AU3" s="61" t="str">
        <f t="shared" si="0"/>
        <v/>
      </c>
      <c r="AV3" s="61" t="str">
        <f t="shared" si="0"/>
        <v>04</v>
      </c>
      <c r="AW3" s="61" t="str">
        <f t="shared" si="0"/>
        <v>04</v>
      </c>
      <c r="AX3" s="61" t="str">
        <f t="shared" si="0"/>
        <v>04</v>
      </c>
      <c r="AY3" s="61" t="str">
        <f t="shared" si="0"/>
        <v>04</v>
      </c>
      <c r="AZ3" s="61" t="str">
        <f t="shared" si="0"/>
        <v/>
      </c>
      <c r="BA3" s="61" t="str">
        <f t="shared" si="0"/>
        <v>04</v>
      </c>
      <c r="BB3" s="61" t="str">
        <f t="shared" si="0"/>
        <v/>
      </c>
      <c r="BC3" s="61" t="str">
        <f t="shared" si="0"/>
        <v/>
      </c>
      <c r="BD3" s="61" t="str">
        <f t="shared" si="0"/>
        <v>04</v>
      </c>
      <c r="BE3" s="61" t="str">
        <f t="shared" si="0"/>
        <v/>
      </c>
      <c r="BF3" s="61" t="str">
        <f t="shared" si="0"/>
        <v/>
      </c>
      <c r="BG3" s="61" t="str">
        <f t="shared" si="0"/>
        <v/>
      </c>
      <c r="BH3" s="61" t="str">
        <f t="shared" si="0"/>
        <v/>
      </c>
      <c r="BI3" s="61" t="str">
        <f t="shared" si="0"/>
        <v/>
      </c>
      <c r="BJ3" s="61" t="str">
        <f t="shared" si="0"/>
        <v/>
      </c>
      <c r="BK3" s="61" t="str">
        <f t="shared" si="0"/>
        <v/>
      </c>
      <c r="BL3" s="61" t="str">
        <f t="shared" si="0"/>
        <v/>
      </c>
      <c r="BM3" s="61" t="str">
        <f t="shared" si="0"/>
        <v/>
      </c>
      <c r="BN3" s="61" t="str">
        <f t="shared" si="0"/>
        <v/>
      </c>
      <c r="BO3" s="61" t="str">
        <f t="shared" si="0"/>
        <v/>
      </c>
      <c r="BP3" s="61" t="str">
        <f t="shared" si="0"/>
        <v/>
      </c>
      <c r="BQ3" s="61" t="str">
        <f t="shared" si="0"/>
        <v/>
      </c>
      <c r="BR3" s="61" t="str">
        <f t="shared" si="0"/>
        <v/>
      </c>
      <c r="BS3" s="61" t="str">
        <f t="shared" si="0"/>
        <v/>
      </c>
      <c r="BT3" s="61" t="str">
        <f t="shared" si="0"/>
        <v/>
      </c>
      <c r="BU3" s="61" t="str">
        <f t="shared" si="0"/>
        <v/>
      </c>
      <c r="BV3" s="61" t="str">
        <f t="shared" si="0"/>
        <v/>
      </c>
      <c r="BW3" s="61" t="str">
        <f t="shared" si="0"/>
        <v/>
      </c>
      <c r="BX3" s="61" t="str">
        <f t="shared" si="0"/>
        <v/>
      </c>
      <c r="BY3" s="61" t="str">
        <f t="shared" si="0"/>
        <v/>
      </c>
      <c r="BZ3" s="61" t="str">
        <f t="shared" si="0"/>
        <v/>
      </c>
      <c r="CA3" s="61" t="str">
        <f t="shared" si="0"/>
        <v/>
      </c>
      <c r="CB3" s="61" t="str">
        <f t="shared" ref="CB3:EM3" si="1">IF(COUNTA(CB4:CB65536)=0,"","04")</f>
        <v/>
      </c>
      <c r="CC3" s="61" t="str">
        <f t="shared" si="1"/>
        <v/>
      </c>
      <c r="CD3" s="61" t="str">
        <f t="shared" si="1"/>
        <v/>
      </c>
      <c r="CE3" s="61" t="str">
        <f t="shared" si="1"/>
        <v/>
      </c>
      <c r="CF3" s="61" t="str">
        <f t="shared" si="1"/>
        <v/>
      </c>
      <c r="CG3" s="61" t="str">
        <f t="shared" si="1"/>
        <v/>
      </c>
      <c r="CH3" s="61" t="str">
        <f t="shared" si="1"/>
        <v/>
      </c>
      <c r="CI3" s="61" t="str">
        <f t="shared" si="1"/>
        <v/>
      </c>
      <c r="CJ3" s="61" t="str">
        <f t="shared" si="1"/>
        <v/>
      </c>
      <c r="CK3" s="61" t="str">
        <f t="shared" si="1"/>
        <v/>
      </c>
      <c r="CL3" s="61" t="str">
        <f t="shared" si="1"/>
        <v/>
      </c>
      <c r="CM3" s="61" t="str">
        <f t="shared" si="1"/>
        <v/>
      </c>
      <c r="CN3" s="61" t="str">
        <f t="shared" si="1"/>
        <v/>
      </c>
      <c r="CO3" s="61" t="str">
        <f t="shared" si="1"/>
        <v/>
      </c>
      <c r="CP3" s="61" t="str">
        <f t="shared" si="1"/>
        <v/>
      </c>
      <c r="CQ3" s="61" t="str">
        <f t="shared" si="1"/>
        <v/>
      </c>
      <c r="CR3" s="61" t="str">
        <f t="shared" si="1"/>
        <v/>
      </c>
      <c r="CS3" s="61" t="str">
        <f t="shared" si="1"/>
        <v/>
      </c>
      <c r="CT3" s="61" t="str">
        <f t="shared" si="1"/>
        <v/>
      </c>
      <c r="CU3" s="61" t="str">
        <f t="shared" si="1"/>
        <v/>
      </c>
      <c r="CV3" s="61" t="str">
        <f t="shared" si="1"/>
        <v/>
      </c>
      <c r="CW3" s="61" t="str">
        <f t="shared" si="1"/>
        <v/>
      </c>
      <c r="CX3" s="61" t="str">
        <f t="shared" si="1"/>
        <v/>
      </c>
      <c r="CY3" s="61" t="str">
        <f t="shared" si="1"/>
        <v/>
      </c>
      <c r="CZ3" s="61" t="str">
        <f t="shared" si="1"/>
        <v/>
      </c>
      <c r="DA3" s="61" t="str">
        <f t="shared" si="1"/>
        <v/>
      </c>
      <c r="DB3" s="61" t="str">
        <f t="shared" si="1"/>
        <v/>
      </c>
      <c r="DC3" s="61" t="str">
        <f t="shared" si="1"/>
        <v/>
      </c>
      <c r="DD3" s="61" t="str">
        <f t="shared" si="1"/>
        <v/>
      </c>
      <c r="DE3" s="61" t="str">
        <f t="shared" si="1"/>
        <v/>
      </c>
      <c r="DF3" s="61" t="str">
        <f t="shared" si="1"/>
        <v/>
      </c>
      <c r="DG3" s="61" t="str">
        <f t="shared" si="1"/>
        <v/>
      </c>
      <c r="DH3" s="61" t="str">
        <f t="shared" si="1"/>
        <v/>
      </c>
      <c r="DI3" s="61" t="str">
        <f t="shared" si="1"/>
        <v/>
      </c>
      <c r="DJ3" s="61" t="str">
        <f t="shared" si="1"/>
        <v/>
      </c>
      <c r="DK3" s="61" t="str">
        <f t="shared" si="1"/>
        <v/>
      </c>
      <c r="DL3" s="61" t="str">
        <f t="shared" si="1"/>
        <v/>
      </c>
      <c r="DM3" s="61" t="str">
        <f t="shared" si="1"/>
        <v/>
      </c>
      <c r="DN3" s="61" t="str">
        <f t="shared" si="1"/>
        <v/>
      </c>
      <c r="DO3" s="61" t="str">
        <f t="shared" si="1"/>
        <v/>
      </c>
      <c r="DP3" s="61" t="str">
        <f t="shared" si="1"/>
        <v/>
      </c>
      <c r="DQ3" s="61" t="str">
        <f t="shared" si="1"/>
        <v/>
      </c>
      <c r="DR3" s="61" t="str">
        <f t="shared" si="1"/>
        <v/>
      </c>
      <c r="DS3" s="61" t="str">
        <f t="shared" si="1"/>
        <v/>
      </c>
      <c r="DT3" s="61" t="str">
        <f t="shared" si="1"/>
        <v/>
      </c>
      <c r="DU3" s="61" t="str">
        <f t="shared" si="1"/>
        <v/>
      </c>
      <c r="DV3" s="61" t="str">
        <f t="shared" si="1"/>
        <v/>
      </c>
      <c r="DW3" s="61" t="str">
        <f t="shared" si="1"/>
        <v/>
      </c>
      <c r="DX3" s="61" t="str">
        <f t="shared" si="1"/>
        <v/>
      </c>
      <c r="DY3" s="61" t="str">
        <f t="shared" si="1"/>
        <v/>
      </c>
      <c r="DZ3" s="61" t="str">
        <f t="shared" si="1"/>
        <v/>
      </c>
      <c r="EA3" s="61" t="str">
        <f t="shared" si="1"/>
        <v/>
      </c>
      <c r="EB3" s="61" t="str">
        <f t="shared" si="1"/>
        <v/>
      </c>
      <c r="EC3" s="61" t="str">
        <f t="shared" si="1"/>
        <v/>
      </c>
      <c r="ED3" s="61" t="str">
        <f t="shared" si="1"/>
        <v/>
      </c>
      <c r="EE3" s="61" t="str">
        <f t="shared" si="1"/>
        <v/>
      </c>
      <c r="EF3" s="61" t="str">
        <f t="shared" si="1"/>
        <v/>
      </c>
      <c r="EG3" s="61" t="str">
        <f t="shared" si="1"/>
        <v/>
      </c>
      <c r="EH3" s="61" t="str">
        <f t="shared" si="1"/>
        <v/>
      </c>
      <c r="EI3" s="61" t="str">
        <f t="shared" si="1"/>
        <v/>
      </c>
      <c r="EJ3" s="61" t="str">
        <f t="shared" si="1"/>
        <v/>
      </c>
      <c r="EK3" s="61" t="str">
        <f t="shared" si="1"/>
        <v/>
      </c>
      <c r="EL3" s="61" t="str">
        <f t="shared" si="1"/>
        <v/>
      </c>
      <c r="EM3" s="61" t="str">
        <f t="shared" si="1"/>
        <v/>
      </c>
      <c r="EN3" s="61" t="str">
        <f t="shared" ref="EN3:GY3" si="2">IF(COUNTA(EN4:EN65536)=0,"","04")</f>
        <v/>
      </c>
      <c r="EO3" s="61" t="str">
        <f t="shared" si="2"/>
        <v/>
      </c>
      <c r="EP3" s="61" t="str">
        <f t="shared" si="2"/>
        <v/>
      </c>
      <c r="EQ3" s="61" t="str">
        <f t="shared" si="2"/>
        <v/>
      </c>
      <c r="ER3" s="61" t="str">
        <f t="shared" si="2"/>
        <v/>
      </c>
      <c r="ES3" s="61" t="str">
        <f t="shared" si="2"/>
        <v/>
      </c>
      <c r="ET3" s="61" t="str">
        <f t="shared" si="2"/>
        <v/>
      </c>
      <c r="EU3" s="61" t="str">
        <f t="shared" si="2"/>
        <v/>
      </c>
      <c r="EV3" s="61" t="str">
        <f t="shared" si="2"/>
        <v/>
      </c>
      <c r="EW3" s="61" t="str">
        <f t="shared" si="2"/>
        <v/>
      </c>
      <c r="EX3" s="61" t="str">
        <f t="shared" si="2"/>
        <v/>
      </c>
      <c r="EY3" s="61" t="str">
        <f t="shared" si="2"/>
        <v/>
      </c>
      <c r="EZ3" s="61" t="str">
        <f t="shared" si="2"/>
        <v/>
      </c>
      <c r="FA3" s="61" t="str">
        <f t="shared" si="2"/>
        <v/>
      </c>
      <c r="FB3" s="61" t="str">
        <f t="shared" si="2"/>
        <v/>
      </c>
      <c r="FC3" s="61" t="str">
        <f t="shared" si="2"/>
        <v/>
      </c>
      <c r="FD3" s="61" t="str">
        <f t="shared" si="2"/>
        <v/>
      </c>
      <c r="FE3" s="61" t="str">
        <f t="shared" si="2"/>
        <v/>
      </c>
      <c r="FF3" s="61" t="str">
        <f t="shared" si="2"/>
        <v/>
      </c>
      <c r="FG3" s="61" t="str">
        <f t="shared" si="2"/>
        <v/>
      </c>
      <c r="FH3" s="61" t="str">
        <f t="shared" si="2"/>
        <v/>
      </c>
      <c r="FI3" s="61" t="str">
        <f t="shared" si="2"/>
        <v/>
      </c>
      <c r="FJ3" s="61" t="str">
        <f t="shared" si="2"/>
        <v/>
      </c>
      <c r="FK3" s="61" t="str">
        <f t="shared" si="2"/>
        <v/>
      </c>
      <c r="FL3" s="61" t="str">
        <f t="shared" si="2"/>
        <v/>
      </c>
      <c r="FM3" s="61" t="str">
        <f t="shared" si="2"/>
        <v/>
      </c>
      <c r="FN3" s="61" t="str">
        <f t="shared" si="2"/>
        <v/>
      </c>
      <c r="FO3" s="61" t="str">
        <f t="shared" si="2"/>
        <v/>
      </c>
      <c r="FP3" s="61" t="str">
        <f t="shared" si="2"/>
        <v/>
      </c>
      <c r="FQ3" s="61" t="str">
        <f t="shared" si="2"/>
        <v/>
      </c>
      <c r="FR3" s="61" t="str">
        <f t="shared" si="2"/>
        <v/>
      </c>
      <c r="FS3" s="61" t="str">
        <f t="shared" si="2"/>
        <v/>
      </c>
      <c r="FT3" s="61" t="str">
        <f t="shared" si="2"/>
        <v/>
      </c>
      <c r="FU3" s="61" t="str">
        <f t="shared" si="2"/>
        <v/>
      </c>
      <c r="FV3" s="61" t="str">
        <f t="shared" si="2"/>
        <v/>
      </c>
      <c r="FW3" s="61" t="str">
        <f t="shared" si="2"/>
        <v/>
      </c>
      <c r="FX3" s="61" t="str">
        <f t="shared" si="2"/>
        <v/>
      </c>
      <c r="FY3" s="61" t="str">
        <f t="shared" si="2"/>
        <v/>
      </c>
      <c r="FZ3" s="61" t="str">
        <f t="shared" si="2"/>
        <v/>
      </c>
      <c r="GA3" s="61" t="str">
        <f t="shared" si="2"/>
        <v/>
      </c>
      <c r="GB3" s="61" t="str">
        <f t="shared" si="2"/>
        <v/>
      </c>
      <c r="GC3" s="61" t="str">
        <f t="shared" si="2"/>
        <v/>
      </c>
      <c r="GD3" s="61" t="str">
        <f t="shared" si="2"/>
        <v/>
      </c>
      <c r="GE3" s="61" t="str">
        <f t="shared" si="2"/>
        <v/>
      </c>
      <c r="GF3" s="61" t="str">
        <f t="shared" si="2"/>
        <v/>
      </c>
      <c r="GG3" s="61" t="str">
        <f t="shared" si="2"/>
        <v/>
      </c>
      <c r="GH3" s="61" t="str">
        <f t="shared" si="2"/>
        <v/>
      </c>
      <c r="GI3" s="61" t="str">
        <f t="shared" si="2"/>
        <v/>
      </c>
      <c r="GJ3" s="61" t="str">
        <f t="shared" si="2"/>
        <v/>
      </c>
      <c r="GK3" s="61" t="str">
        <f t="shared" si="2"/>
        <v/>
      </c>
      <c r="GL3" s="61" t="str">
        <f t="shared" si="2"/>
        <v/>
      </c>
      <c r="GM3" s="61" t="str">
        <f t="shared" si="2"/>
        <v/>
      </c>
      <c r="GN3" s="61" t="str">
        <f t="shared" si="2"/>
        <v/>
      </c>
      <c r="GO3" s="61" t="str">
        <f t="shared" si="2"/>
        <v/>
      </c>
      <c r="GP3" s="61" t="str">
        <f t="shared" si="2"/>
        <v/>
      </c>
      <c r="GQ3" s="61" t="str">
        <f t="shared" si="2"/>
        <v/>
      </c>
      <c r="GR3" s="61" t="str">
        <f t="shared" si="2"/>
        <v/>
      </c>
      <c r="GS3" s="61" t="str">
        <f t="shared" si="2"/>
        <v/>
      </c>
      <c r="GT3" s="61" t="str">
        <f t="shared" si="2"/>
        <v/>
      </c>
      <c r="GU3" s="61" t="str">
        <f t="shared" si="2"/>
        <v/>
      </c>
      <c r="GV3" s="61" t="str">
        <f t="shared" si="2"/>
        <v/>
      </c>
      <c r="GW3" s="61" t="str">
        <f t="shared" si="2"/>
        <v/>
      </c>
      <c r="GX3" s="61" t="str">
        <f t="shared" si="2"/>
        <v/>
      </c>
      <c r="GY3" s="61" t="str">
        <f t="shared" si="2"/>
        <v/>
      </c>
      <c r="GZ3" s="61" t="str">
        <f t="shared" ref="GZ3:HS3" si="3">IF(COUNTA(GZ4:GZ65536)=0,"","04")</f>
        <v/>
      </c>
      <c r="HA3" s="61" t="str">
        <f t="shared" si="3"/>
        <v/>
      </c>
      <c r="HB3" s="61" t="str">
        <f t="shared" si="3"/>
        <v/>
      </c>
      <c r="HC3" s="61" t="str">
        <f t="shared" si="3"/>
        <v/>
      </c>
      <c r="HD3" s="61" t="str">
        <f t="shared" si="3"/>
        <v/>
      </c>
      <c r="HE3" s="61" t="str">
        <f t="shared" si="3"/>
        <v/>
      </c>
      <c r="HF3" s="61" t="str">
        <f t="shared" si="3"/>
        <v/>
      </c>
      <c r="HG3" s="61" t="str">
        <f t="shared" si="3"/>
        <v/>
      </c>
      <c r="HH3" s="61" t="str">
        <f t="shared" si="3"/>
        <v/>
      </c>
      <c r="HI3" s="61" t="str">
        <f t="shared" si="3"/>
        <v/>
      </c>
      <c r="HJ3" s="61" t="str">
        <f t="shared" si="3"/>
        <v/>
      </c>
      <c r="HK3" s="61" t="str">
        <f t="shared" si="3"/>
        <v/>
      </c>
      <c r="HL3" s="61" t="str">
        <f t="shared" si="3"/>
        <v/>
      </c>
      <c r="HM3" s="61" t="str">
        <f t="shared" si="3"/>
        <v/>
      </c>
      <c r="HN3" s="61" t="str">
        <f t="shared" si="3"/>
        <v/>
      </c>
      <c r="HO3" s="61" t="str">
        <f t="shared" si="3"/>
        <v/>
      </c>
      <c r="HP3" s="61" t="str">
        <f t="shared" si="3"/>
        <v/>
      </c>
      <c r="HQ3" s="61" t="str">
        <f t="shared" si="3"/>
        <v/>
      </c>
      <c r="HR3" s="61" t="str">
        <f t="shared" si="3"/>
        <v/>
      </c>
      <c r="HS3" s="61" t="str">
        <f t="shared" si="3"/>
        <v/>
      </c>
    </row>
    <row r="4" spans="1:227" s="12" customFormat="1" x14ac:dyDescent="0.2">
      <c r="A4" s="11" t="s">
        <v>7583</v>
      </c>
      <c r="B4" s="12" t="s">
        <v>6195</v>
      </c>
      <c r="D4" s="12" t="s">
        <v>6288</v>
      </c>
      <c r="E4" s="12" t="s">
        <v>11</v>
      </c>
      <c r="F4" s="12" t="s">
        <v>6289</v>
      </c>
      <c r="G4" s="12" t="s">
        <v>6198</v>
      </c>
      <c r="J4" s="12" t="s">
        <v>6199</v>
      </c>
      <c r="K4" s="12">
        <v>1989</v>
      </c>
      <c r="L4" s="12" t="s">
        <v>6200</v>
      </c>
      <c r="M4" s="12" t="s">
        <v>6201</v>
      </c>
      <c r="N4" s="12">
        <v>1.1000000000000001</v>
      </c>
      <c r="O4" s="12">
        <v>49</v>
      </c>
      <c r="AQ4" s="14">
        <v>41</v>
      </c>
      <c r="AT4" s="12">
        <v>0.4</v>
      </c>
      <c r="AV4" s="12">
        <v>510</v>
      </c>
      <c r="AW4" s="13">
        <v>123</v>
      </c>
      <c r="AX4" s="12">
        <v>0.65</v>
      </c>
      <c r="AY4" s="12">
        <v>15</v>
      </c>
      <c r="BA4" s="12">
        <v>265</v>
      </c>
      <c r="BD4" s="12">
        <v>1.4</v>
      </c>
    </row>
    <row r="5" spans="1:227" s="12" customFormat="1" x14ac:dyDescent="0.2">
      <c r="A5" s="11" t="s">
        <v>7584</v>
      </c>
      <c r="B5" s="12" t="s">
        <v>6195</v>
      </c>
      <c r="D5" s="12" t="s">
        <v>6290</v>
      </c>
      <c r="E5" s="12" t="s">
        <v>11</v>
      </c>
      <c r="F5" s="12" t="s">
        <v>6289</v>
      </c>
      <c r="G5" s="12" t="s">
        <v>6198</v>
      </c>
      <c r="J5" s="12" t="s">
        <v>6199</v>
      </c>
      <c r="K5" s="12">
        <v>1989</v>
      </c>
      <c r="L5" s="12" t="s">
        <v>6200</v>
      </c>
      <c r="M5" s="12" t="s">
        <v>6201</v>
      </c>
      <c r="N5" s="12">
        <v>1.1000000000000001</v>
      </c>
      <c r="O5" s="12">
        <v>8</v>
      </c>
      <c r="AQ5" s="14">
        <v>83</v>
      </c>
      <c r="AT5" s="12">
        <v>0.8</v>
      </c>
      <c r="AV5" s="12">
        <v>892</v>
      </c>
      <c r="AW5" s="13">
        <v>187</v>
      </c>
      <c r="AX5" s="12">
        <v>0.93</v>
      </c>
      <c r="AY5" s="12">
        <v>18</v>
      </c>
      <c r="BA5" s="12">
        <v>455</v>
      </c>
      <c r="BD5" s="12">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S271"/>
  <sheetViews>
    <sheetView zoomScaleNormal="100" workbookViewId="0">
      <pane ySplit="3" topLeftCell="A4" activePane="bottomLeft" state="frozen"/>
      <selection pane="bottomLeft"/>
    </sheetView>
  </sheetViews>
  <sheetFormatPr defaultColWidth="11.42578125" defaultRowHeight="12.75" x14ac:dyDescent="0.2"/>
  <cols>
    <col min="1" max="3" width="11.42578125" style="1" customWidth="1"/>
    <col min="4" max="4" width="30.7109375" style="1" customWidth="1"/>
    <col min="5" max="84" width="11.42578125" style="1"/>
    <col min="85" max="85" width="12.140625" style="1" customWidth="1"/>
    <col min="86" max="16384" width="11.42578125" style="1"/>
  </cols>
  <sheetData>
    <row r="1" spans="1:227" s="4" customFormat="1" ht="33.6" customHeight="1" x14ac:dyDescent="0.2">
      <c r="A1" s="4" t="s">
        <v>64</v>
      </c>
      <c r="B1" s="4" t="s">
        <v>65</v>
      </c>
      <c r="C1" s="4" t="s">
        <v>241</v>
      </c>
      <c r="D1" s="4" t="s">
        <v>67</v>
      </c>
      <c r="E1" s="4" t="s">
        <v>6</v>
      </c>
      <c r="F1" s="4" t="s">
        <v>239</v>
      </c>
      <c r="G1" s="4" t="s">
        <v>68</v>
      </c>
      <c r="H1" s="4" t="s">
        <v>69</v>
      </c>
      <c r="I1" s="4" t="s">
        <v>13</v>
      </c>
      <c r="J1" s="4" t="s">
        <v>70</v>
      </c>
      <c r="K1" s="4" t="s">
        <v>71</v>
      </c>
      <c r="L1" s="4" t="s">
        <v>240</v>
      </c>
      <c r="M1" s="4" t="s">
        <v>19</v>
      </c>
      <c r="N1" s="4" t="s">
        <v>242</v>
      </c>
      <c r="O1" s="16" t="s">
        <v>1069</v>
      </c>
      <c r="P1" s="4" t="s">
        <v>243</v>
      </c>
      <c r="Q1" s="4" t="s">
        <v>244</v>
      </c>
      <c r="R1" s="4" t="s">
        <v>73</v>
      </c>
      <c r="S1" s="4" t="s">
        <v>245</v>
      </c>
      <c r="T1" s="4" t="s">
        <v>74</v>
      </c>
      <c r="U1" s="16" t="s">
        <v>1071</v>
      </c>
      <c r="V1" s="4" t="s">
        <v>6212</v>
      </c>
      <c r="W1" s="16" t="s">
        <v>7017</v>
      </c>
      <c r="X1" s="4" t="s">
        <v>246</v>
      </c>
      <c r="Y1" s="16" t="s">
        <v>1073</v>
      </c>
      <c r="Z1" s="4" t="s">
        <v>76</v>
      </c>
      <c r="AA1" s="4" t="s">
        <v>77</v>
      </c>
      <c r="AB1" s="16" t="s">
        <v>1074</v>
      </c>
      <c r="AC1" s="16" t="s">
        <v>1075</v>
      </c>
      <c r="AD1" s="16" t="s">
        <v>1076</v>
      </c>
      <c r="AE1" s="4" t="s">
        <v>79</v>
      </c>
      <c r="AF1" s="16" t="s">
        <v>6213</v>
      </c>
      <c r="AG1" s="16" t="s">
        <v>7021</v>
      </c>
      <c r="AH1" s="4" t="s">
        <v>6214</v>
      </c>
      <c r="AI1" s="4" t="s">
        <v>247</v>
      </c>
      <c r="AJ1" s="4" t="s">
        <v>248</v>
      </c>
      <c r="AK1" s="16" t="s">
        <v>6217</v>
      </c>
      <c r="AL1" s="4" t="s">
        <v>6219</v>
      </c>
      <c r="AM1" s="16" t="s">
        <v>6220</v>
      </c>
      <c r="AN1" s="16" t="s">
        <v>6221</v>
      </c>
      <c r="AO1" s="4" t="s">
        <v>82</v>
      </c>
      <c r="AP1" s="4" t="s">
        <v>83</v>
      </c>
      <c r="AQ1" s="16" t="s">
        <v>7024</v>
      </c>
      <c r="AR1" s="16" t="s">
        <v>6222</v>
      </c>
      <c r="AS1" s="16" t="s">
        <v>6223</v>
      </c>
      <c r="AT1" s="16" t="s">
        <v>6224</v>
      </c>
      <c r="AU1" s="16" t="s">
        <v>6265</v>
      </c>
      <c r="AV1" s="16" t="s">
        <v>6264</v>
      </c>
      <c r="AW1" s="4" t="s">
        <v>84</v>
      </c>
      <c r="AX1" s="4" t="s">
        <v>85</v>
      </c>
      <c r="AY1" s="16" t="s">
        <v>1082</v>
      </c>
      <c r="AZ1" s="4" t="s">
        <v>250</v>
      </c>
      <c r="BA1" s="16" t="s">
        <v>1083</v>
      </c>
      <c r="BB1" s="4" t="s">
        <v>86</v>
      </c>
      <c r="BC1" s="4" t="s">
        <v>87</v>
      </c>
      <c r="BD1" s="4" t="s">
        <v>88</v>
      </c>
      <c r="BE1" s="4" t="s">
        <v>89</v>
      </c>
      <c r="BF1" s="4" t="s">
        <v>251</v>
      </c>
      <c r="BG1" s="4" t="s">
        <v>90</v>
      </c>
      <c r="BH1" s="16" t="s">
        <v>1087</v>
      </c>
      <c r="BI1" s="4" t="s">
        <v>91</v>
      </c>
      <c r="BJ1" s="16" t="s">
        <v>1089</v>
      </c>
      <c r="BK1" s="16" t="s">
        <v>1090</v>
      </c>
      <c r="BL1" s="4" t="s">
        <v>92</v>
      </c>
      <c r="BM1" s="4" t="s">
        <v>249</v>
      </c>
      <c r="BN1" s="4" t="s">
        <v>252</v>
      </c>
      <c r="BO1" s="16" t="s">
        <v>6226</v>
      </c>
      <c r="BP1" s="4" t="s">
        <v>253</v>
      </c>
      <c r="BQ1" s="4" t="s">
        <v>254</v>
      </c>
      <c r="BR1" s="16" t="s">
        <v>1098</v>
      </c>
      <c r="BS1" s="4" t="s">
        <v>255</v>
      </c>
      <c r="BT1" s="16" t="s">
        <v>6229</v>
      </c>
      <c r="BU1" s="16" t="s">
        <v>1102</v>
      </c>
      <c r="BV1" s="4" t="s">
        <v>256</v>
      </c>
      <c r="BW1" s="4" t="s">
        <v>257</v>
      </c>
      <c r="BX1" s="16" t="s">
        <v>7032</v>
      </c>
      <c r="BY1" s="16" t="s">
        <v>6230</v>
      </c>
      <c r="BZ1" s="16" t="s">
        <v>7190</v>
      </c>
      <c r="CA1" s="16" t="s">
        <v>6233</v>
      </c>
      <c r="CB1" s="4" t="s">
        <v>258</v>
      </c>
      <c r="CC1" s="4" t="s">
        <v>259</v>
      </c>
      <c r="CD1" s="16" t="s">
        <v>7035</v>
      </c>
      <c r="CE1" s="4" t="s">
        <v>260</v>
      </c>
      <c r="CF1" s="16" t="s">
        <v>6234</v>
      </c>
      <c r="CG1" s="4" t="s">
        <v>6235</v>
      </c>
      <c r="CH1" s="4" t="s">
        <v>93</v>
      </c>
      <c r="CI1" s="4" t="s">
        <v>94</v>
      </c>
      <c r="CJ1" s="16" t="s">
        <v>95</v>
      </c>
      <c r="CK1" s="4" t="s">
        <v>261</v>
      </c>
      <c r="CL1" s="4" t="s">
        <v>262</v>
      </c>
      <c r="CM1" s="4" t="s">
        <v>263</v>
      </c>
      <c r="CN1" s="4" t="s">
        <v>264</v>
      </c>
      <c r="CO1" s="4" t="s">
        <v>265</v>
      </c>
      <c r="CP1" s="16" t="s">
        <v>7037</v>
      </c>
      <c r="CQ1" s="16" t="s">
        <v>98</v>
      </c>
      <c r="CR1" s="16" t="s">
        <v>7038</v>
      </c>
      <c r="CS1" s="16" t="s">
        <v>114</v>
      </c>
      <c r="CT1" s="16" t="s">
        <v>115</v>
      </c>
      <c r="CU1" s="16" t="s">
        <v>116</v>
      </c>
      <c r="CV1" s="16" t="s">
        <v>117</v>
      </c>
      <c r="CW1" s="16" t="s">
        <v>118</v>
      </c>
      <c r="CX1" s="16" t="s">
        <v>119</v>
      </c>
      <c r="CY1" s="16" t="s">
        <v>121</v>
      </c>
      <c r="CZ1" s="16" t="s">
        <v>122</v>
      </c>
      <c r="DA1" s="16" t="s">
        <v>5181</v>
      </c>
      <c r="DB1" s="16" t="s">
        <v>123</v>
      </c>
      <c r="DC1" s="16" t="s">
        <v>6872</v>
      </c>
      <c r="DD1" s="16" t="s">
        <v>5198</v>
      </c>
      <c r="DE1" s="16" t="s">
        <v>5199</v>
      </c>
      <c r="DF1" s="16" t="s">
        <v>124</v>
      </c>
      <c r="DG1" s="16" t="s">
        <v>5205</v>
      </c>
      <c r="DH1" s="16" t="s">
        <v>125</v>
      </c>
      <c r="DI1" s="16" t="s">
        <v>126</v>
      </c>
      <c r="DJ1" s="16" t="s">
        <v>5218</v>
      </c>
      <c r="DK1" s="16" t="s">
        <v>5221</v>
      </c>
      <c r="DL1" s="16" t="s">
        <v>5226</v>
      </c>
      <c r="DM1" s="16" t="s">
        <v>5238</v>
      </c>
      <c r="DN1" s="16" t="s">
        <v>5236</v>
      </c>
      <c r="DO1" s="16" t="s">
        <v>5240</v>
      </c>
      <c r="DP1" s="16" t="s">
        <v>5249</v>
      </c>
      <c r="DQ1" s="16" t="s">
        <v>5253</v>
      </c>
      <c r="DR1" s="16" t="s">
        <v>5256</v>
      </c>
      <c r="DS1" s="16" t="s">
        <v>5260</v>
      </c>
      <c r="DT1" s="16" t="s">
        <v>5265</v>
      </c>
      <c r="DU1" s="16" t="s">
        <v>5268</v>
      </c>
      <c r="DV1" s="16" t="s">
        <v>5267</v>
      </c>
      <c r="DW1" s="4" t="s">
        <v>266</v>
      </c>
      <c r="DX1" s="4" t="s">
        <v>133</v>
      </c>
      <c r="DY1" s="4" t="s">
        <v>134</v>
      </c>
      <c r="DZ1" s="4" t="s">
        <v>267</v>
      </c>
      <c r="EA1" s="4" t="s">
        <v>136</v>
      </c>
      <c r="EB1" s="16" t="s">
        <v>6899</v>
      </c>
      <c r="EC1" s="4" t="s">
        <v>137</v>
      </c>
      <c r="ED1" s="4" t="s">
        <v>138</v>
      </c>
      <c r="EE1" s="4" t="s">
        <v>139</v>
      </c>
      <c r="EF1" s="4" t="s">
        <v>140</v>
      </c>
      <c r="EG1" s="4" t="s">
        <v>141</v>
      </c>
      <c r="EH1" s="4" t="s">
        <v>142</v>
      </c>
      <c r="EI1" s="4" t="s">
        <v>143</v>
      </c>
      <c r="EJ1" s="4" t="s">
        <v>144</v>
      </c>
      <c r="EK1" s="4" t="s">
        <v>145</v>
      </c>
      <c r="EL1" s="4" t="s">
        <v>146</v>
      </c>
      <c r="EM1" s="4" t="s">
        <v>147</v>
      </c>
      <c r="EN1" s="4" t="s">
        <v>148</v>
      </c>
      <c r="EO1" s="4" t="s">
        <v>149</v>
      </c>
      <c r="EP1" s="4" t="s">
        <v>150</v>
      </c>
      <c r="EQ1" s="16" t="s">
        <v>6239</v>
      </c>
      <c r="ER1" s="4" t="s">
        <v>269</v>
      </c>
      <c r="ES1" s="4" t="s">
        <v>268</v>
      </c>
      <c r="ET1" s="16" t="s">
        <v>6243</v>
      </c>
      <c r="EU1" s="4" t="s">
        <v>270</v>
      </c>
      <c r="EV1" s="16" t="s">
        <v>6244</v>
      </c>
      <c r="EW1" s="16" t="s">
        <v>6246</v>
      </c>
      <c r="EX1" s="16" t="s">
        <v>7045</v>
      </c>
      <c r="EY1" s="16" t="s">
        <v>7046</v>
      </c>
      <c r="EZ1" s="16" t="s">
        <v>270</v>
      </c>
      <c r="FA1" s="16" t="s">
        <v>7047</v>
      </c>
      <c r="FB1" s="16" t="s">
        <v>6253</v>
      </c>
      <c r="FC1" s="4" t="s">
        <v>7114</v>
      </c>
      <c r="FD1" s="16" t="s">
        <v>6256</v>
      </c>
      <c r="FE1" s="4" t="s">
        <v>271</v>
      </c>
      <c r="FF1" s="4" t="s">
        <v>272</v>
      </c>
      <c r="FG1" s="4" t="s">
        <v>273</v>
      </c>
      <c r="FH1" s="18" t="s">
        <v>7253</v>
      </c>
      <c r="FI1" s="16" t="s">
        <v>6249</v>
      </c>
      <c r="FJ1" s="18" t="s">
        <v>6263</v>
      </c>
    </row>
    <row r="2" spans="1:227" s="5" customFormat="1" ht="58.5" customHeight="1" x14ac:dyDescent="0.2">
      <c r="B2" s="5" t="s">
        <v>152</v>
      </c>
      <c r="E2" s="5" t="s">
        <v>153</v>
      </c>
      <c r="G2" s="5" t="s">
        <v>154</v>
      </c>
      <c r="H2" s="5" t="s">
        <v>155</v>
      </c>
      <c r="I2" s="5" t="s">
        <v>14</v>
      </c>
      <c r="O2" s="43" t="s">
        <v>6809</v>
      </c>
      <c r="P2" s="5" t="s">
        <v>274</v>
      </c>
      <c r="Q2" s="5" t="s">
        <v>274</v>
      </c>
      <c r="R2" s="5" t="s">
        <v>156</v>
      </c>
      <c r="S2" s="5" t="s">
        <v>275</v>
      </c>
      <c r="T2" s="5" t="s">
        <v>276</v>
      </c>
      <c r="U2" s="43" t="s">
        <v>6810</v>
      </c>
      <c r="V2" s="5" t="s">
        <v>158</v>
      </c>
      <c r="W2" s="43" t="s">
        <v>7018</v>
      </c>
      <c r="X2" s="5" t="s">
        <v>277</v>
      </c>
      <c r="Y2" s="43" t="s">
        <v>6718</v>
      </c>
      <c r="Z2" s="5" t="s">
        <v>160</v>
      </c>
      <c r="AA2" s="5" t="s">
        <v>278</v>
      </c>
      <c r="AB2" s="43" t="s">
        <v>6811</v>
      </c>
      <c r="AC2" s="43" t="s">
        <v>7019</v>
      </c>
      <c r="AD2" s="43" t="s">
        <v>6812</v>
      </c>
      <c r="AE2" s="5" t="s">
        <v>163</v>
      </c>
      <c r="AF2" s="43" t="s">
        <v>7020</v>
      </c>
      <c r="AG2" s="43" t="s">
        <v>7022</v>
      </c>
      <c r="AH2" s="5" t="s">
        <v>164</v>
      </c>
      <c r="AI2" s="5" t="s">
        <v>279</v>
      </c>
      <c r="AJ2" s="5" t="s">
        <v>280</v>
      </c>
      <c r="AK2" s="43" t="s">
        <v>7023</v>
      </c>
      <c r="AL2" s="5" t="s">
        <v>281</v>
      </c>
      <c r="AM2" s="43" t="s">
        <v>6817</v>
      </c>
      <c r="AN2" s="43" t="s">
        <v>6798</v>
      </c>
      <c r="AO2" s="5" t="s">
        <v>166</v>
      </c>
      <c r="AP2" s="5" t="s">
        <v>282</v>
      </c>
      <c r="AQ2" s="43" t="s">
        <v>7025</v>
      </c>
      <c r="AR2" s="43" t="s">
        <v>7026</v>
      </c>
      <c r="AS2" s="43" t="s">
        <v>7027</v>
      </c>
      <c r="AT2" s="43" t="s">
        <v>7028</v>
      </c>
      <c r="AU2" s="43" t="s">
        <v>7029</v>
      </c>
      <c r="AV2" s="43" t="s">
        <v>6820</v>
      </c>
      <c r="AW2" s="5" t="s">
        <v>168</v>
      </c>
      <c r="AX2" s="5" t="s">
        <v>169</v>
      </c>
      <c r="AY2" s="43" t="s">
        <v>6821</v>
      </c>
      <c r="AZ2" s="5" t="s">
        <v>284</v>
      </c>
      <c r="BA2" s="43" t="s">
        <v>6823</v>
      </c>
      <c r="BB2" s="5" t="s">
        <v>170</v>
      </c>
      <c r="BC2" s="5" t="s">
        <v>285</v>
      </c>
      <c r="BD2" s="5" t="s">
        <v>172</v>
      </c>
      <c r="BE2" s="5" t="s">
        <v>173</v>
      </c>
      <c r="BF2" s="5" t="s">
        <v>286</v>
      </c>
      <c r="BG2" s="5" t="s">
        <v>174</v>
      </c>
      <c r="BH2" s="43" t="s">
        <v>6826</v>
      </c>
      <c r="BI2" s="5" t="s">
        <v>175</v>
      </c>
      <c r="BJ2" s="43" t="s">
        <v>6828</v>
      </c>
      <c r="BK2" s="43" t="s">
        <v>6829</v>
      </c>
      <c r="BL2" s="5" t="s">
        <v>176</v>
      </c>
      <c r="BM2" s="5" t="s">
        <v>283</v>
      </c>
      <c r="BN2" s="5" t="s">
        <v>287</v>
      </c>
      <c r="BO2" s="43" t="s">
        <v>7030</v>
      </c>
      <c r="BP2" s="5" t="s">
        <v>288</v>
      </c>
      <c r="BQ2" s="5" t="s">
        <v>289</v>
      </c>
      <c r="BR2" s="43" t="s">
        <v>7031</v>
      </c>
      <c r="BS2" s="5" t="s">
        <v>290</v>
      </c>
      <c r="BT2" s="43" t="s">
        <v>6845</v>
      </c>
      <c r="BU2" s="43" t="s">
        <v>6846</v>
      </c>
      <c r="BV2" s="5" t="s">
        <v>291</v>
      </c>
      <c r="BW2" s="5" t="s">
        <v>292</v>
      </c>
      <c r="BX2" s="43" t="s">
        <v>7033</v>
      </c>
      <c r="BY2" s="43" t="s">
        <v>7034</v>
      </c>
      <c r="BZ2" s="43" t="s">
        <v>6853</v>
      </c>
      <c r="CA2" s="43" t="s">
        <v>6855</v>
      </c>
      <c r="CB2" s="5" t="s">
        <v>293</v>
      </c>
      <c r="CC2" s="5" t="s">
        <v>294</v>
      </c>
      <c r="CD2" s="43" t="s">
        <v>7036</v>
      </c>
      <c r="CE2" s="5" t="s">
        <v>295</v>
      </c>
      <c r="CF2" s="43" t="s">
        <v>6856</v>
      </c>
      <c r="CG2" s="5" t="s">
        <v>6546</v>
      </c>
      <c r="CH2" s="5" t="s">
        <v>177</v>
      </c>
      <c r="CI2" s="5" t="s">
        <v>178</v>
      </c>
      <c r="CJ2" s="43" t="s">
        <v>6738</v>
      </c>
      <c r="CK2" s="5" t="s">
        <v>296</v>
      </c>
      <c r="CL2" s="5" t="s">
        <v>297</v>
      </c>
      <c r="CM2" s="5" t="s">
        <v>298</v>
      </c>
      <c r="CN2" s="5" t="s">
        <v>299</v>
      </c>
      <c r="CO2" s="5" t="s">
        <v>297</v>
      </c>
      <c r="CP2" s="43" t="s">
        <v>7039</v>
      </c>
      <c r="CQ2" s="43" t="s">
        <v>6750</v>
      </c>
      <c r="CR2" s="43" t="s">
        <v>7040</v>
      </c>
      <c r="CS2" s="43" t="s">
        <v>6764</v>
      </c>
      <c r="CT2" s="43" t="s">
        <v>6765</v>
      </c>
      <c r="CU2" s="43" t="s">
        <v>6741</v>
      </c>
      <c r="CV2" s="43" t="s">
        <v>6766</v>
      </c>
      <c r="CW2" s="43" t="s">
        <v>6742</v>
      </c>
      <c r="CX2" s="43" t="s">
        <v>6767</v>
      </c>
      <c r="CY2" s="43" t="s">
        <v>6769</v>
      </c>
      <c r="CZ2" s="43" t="s">
        <v>6770</v>
      </c>
      <c r="DA2" s="43" t="s">
        <v>6931</v>
      </c>
      <c r="DB2" s="43" t="s">
        <v>6771</v>
      </c>
      <c r="DC2" s="43" t="s">
        <v>6935</v>
      </c>
      <c r="DD2" s="43" t="s">
        <v>6948</v>
      </c>
      <c r="DE2" s="43" t="s">
        <v>6950</v>
      </c>
      <c r="DF2" s="43" t="s">
        <v>6743</v>
      </c>
      <c r="DG2" s="43" t="s">
        <v>6961</v>
      </c>
      <c r="DH2" s="43" t="s">
        <v>6772</v>
      </c>
      <c r="DI2" s="43" t="s">
        <v>6773</v>
      </c>
      <c r="DJ2" s="43" t="s">
        <v>6967</v>
      </c>
      <c r="DK2" s="43" t="s">
        <v>6970</v>
      </c>
      <c r="DL2" s="43" t="s">
        <v>6972</v>
      </c>
      <c r="DM2" s="43" t="s">
        <v>6978</v>
      </c>
      <c r="DN2" s="43" t="s">
        <v>6977</v>
      </c>
      <c r="DO2" s="43" t="s">
        <v>6980</v>
      </c>
      <c r="DP2" s="43" t="s">
        <v>6985</v>
      </c>
      <c r="DQ2" s="43" t="s">
        <v>6987</v>
      </c>
      <c r="DR2" s="43" t="s">
        <v>6990</v>
      </c>
      <c r="DS2" s="43" t="s">
        <v>6992</v>
      </c>
      <c r="DT2" s="43" t="s">
        <v>6993</v>
      </c>
      <c r="DU2" s="43" t="s">
        <v>6996</v>
      </c>
      <c r="DV2" s="43" t="s">
        <v>6995</v>
      </c>
      <c r="DW2" s="5" t="s">
        <v>300</v>
      </c>
      <c r="DX2" s="5" t="s">
        <v>217</v>
      </c>
      <c r="DY2" s="5" t="s">
        <v>218</v>
      </c>
      <c r="DZ2" s="5" t="s">
        <v>301</v>
      </c>
      <c r="EA2" s="5" t="s">
        <v>220</v>
      </c>
      <c r="EB2" s="43" t="s">
        <v>7007</v>
      </c>
      <c r="EC2" s="5" t="s">
        <v>221</v>
      </c>
      <c r="ED2" s="5" t="s">
        <v>222</v>
      </c>
      <c r="EE2" s="5" t="s">
        <v>223</v>
      </c>
      <c r="EF2" s="5" t="s">
        <v>224</v>
      </c>
      <c r="EG2" s="5" t="s">
        <v>225</v>
      </c>
      <c r="EH2" s="5" t="s">
        <v>226</v>
      </c>
      <c r="EI2" s="5" t="s">
        <v>227</v>
      </c>
      <c r="EJ2" s="5" t="s">
        <v>228</v>
      </c>
      <c r="EK2" s="5" t="s">
        <v>229</v>
      </c>
      <c r="EL2" s="5" t="s">
        <v>230</v>
      </c>
      <c r="EM2" s="5" t="s">
        <v>231</v>
      </c>
      <c r="EN2" s="5" t="s">
        <v>232</v>
      </c>
      <c r="EO2" s="5" t="s">
        <v>233</v>
      </c>
      <c r="EP2" s="5" t="s">
        <v>234</v>
      </c>
      <c r="EQ2" s="43" t="s">
        <v>7041</v>
      </c>
      <c r="ER2" s="5" t="s">
        <v>303</v>
      </c>
      <c r="ES2" s="5" t="s">
        <v>302</v>
      </c>
      <c r="ET2" s="43" t="s">
        <v>7042</v>
      </c>
      <c r="EU2" s="5" t="s">
        <v>304</v>
      </c>
      <c r="EV2" s="43" t="s">
        <v>7043</v>
      </c>
      <c r="EW2" s="43" t="s">
        <v>7044</v>
      </c>
      <c r="EX2" s="43" t="s">
        <v>7048</v>
      </c>
      <c r="EY2" s="43" t="s">
        <v>7049</v>
      </c>
      <c r="EZ2" s="43" t="s">
        <v>7050</v>
      </c>
      <c r="FA2" s="43" t="s">
        <v>7051</v>
      </c>
      <c r="FB2" s="43" t="s">
        <v>7052</v>
      </c>
      <c r="FC2" s="5" t="s">
        <v>306</v>
      </c>
      <c r="FD2" s="43" t="s">
        <v>7053</v>
      </c>
      <c r="FE2" s="5" t="s">
        <v>305</v>
      </c>
      <c r="FF2" s="5" t="s">
        <v>307</v>
      </c>
      <c r="FG2" s="5" t="s">
        <v>308</v>
      </c>
      <c r="FH2" s="53" t="s">
        <v>7054</v>
      </c>
      <c r="FI2" s="5" t="s">
        <v>6498</v>
      </c>
      <c r="FJ2" s="5" t="s">
        <v>6499</v>
      </c>
    </row>
    <row r="3" spans="1:227" s="61" customFormat="1" ht="58.5" hidden="1" customHeight="1" x14ac:dyDescent="0.2">
      <c r="O3" s="61" t="str">
        <f>IF(COUNTA(O4:O65536)=0,"","04")</f>
        <v/>
      </c>
      <c r="P3" s="61" t="str">
        <f>IF(COUNTA(P4:P65536)=0,"","05")</f>
        <v>05</v>
      </c>
      <c r="Q3" s="61" t="str">
        <f t="shared" ref="Q3:CB3" si="0">IF(COUNTA(Q4:Q65536)=0,"","05")</f>
        <v>05</v>
      </c>
      <c r="R3" s="61" t="str">
        <f t="shared" si="0"/>
        <v>05</v>
      </c>
      <c r="S3" s="61" t="str">
        <f t="shared" si="0"/>
        <v>05</v>
      </c>
      <c r="T3" s="61" t="str">
        <f t="shared" si="0"/>
        <v>05</v>
      </c>
      <c r="U3" s="61" t="str">
        <f t="shared" si="0"/>
        <v/>
      </c>
      <c r="V3" s="61" t="str">
        <f t="shared" si="0"/>
        <v>05</v>
      </c>
      <c r="W3" s="61" t="str">
        <f t="shared" si="0"/>
        <v/>
      </c>
      <c r="X3" s="61" t="str">
        <f t="shared" si="0"/>
        <v>05</v>
      </c>
      <c r="Y3" s="61" t="str">
        <f t="shared" si="0"/>
        <v/>
      </c>
      <c r="Z3" s="61" t="str">
        <f t="shared" si="0"/>
        <v>05</v>
      </c>
      <c r="AA3" s="61" t="str">
        <f t="shared" si="0"/>
        <v>05</v>
      </c>
      <c r="AB3" s="61" t="str">
        <f t="shared" si="0"/>
        <v/>
      </c>
      <c r="AC3" s="61" t="str">
        <f t="shared" si="0"/>
        <v/>
      </c>
      <c r="AD3" s="61" t="str">
        <f t="shared" si="0"/>
        <v/>
      </c>
      <c r="AE3" s="61" t="str">
        <f t="shared" si="0"/>
        <v>05</v>
      </c>
      <c r="AF3" s="61" t="str">
        <f t="shared" si="0"/>
        <v/>
      </c>
      <c r="AG3" s="61" t="str">
        <f t="shared" si="0"/>
        <v/>
      </c>
      <c r="AH3" s="61" t="str">
        <f t="shared" si="0"/>
        <v>05</v>
      </c>
      <c r="AI3" s="61" t="str">
        <f t="shared" si="0"/>
        <v>05</v>
      </c>
      <c r="AJ3" s="61" t="str">
        <f t="shared" si="0"/>
        <v>05</v>
      </c>
      <c r="AK3" s="61" t="str">
        <f t="shared" si="0"/>
        <v/>
      </c>
      <c r="AL3" s="61" t="str">
        <f t="shared" si="0"/>
        <v>05</v>
      </c>
      <c r="AM3" s="61" t="str">
        <f t="shared" si="0"/>
        <v/>
      </c>
      <c r="AN3" s="61" t="str">
        <f t="shared" si="0"/>
        <v/>
      </c>
      <c r="AO3" s="61" t="str">
        <f t="shared" si="0"/>
        <v>05</v>
      </c>
      <c r="AP3" s="61" t="str">
        <f t="shared" si="0"/>
        <v>05</v>
      </c>
      <c r="AQ3" s="61" t="str">
        <f t="shared" si="0"/>
        <v/>
      </c>
      <c r="AR3" s="61" t="str">
        <f t="shared" si="0"/>
        <v/>
      </c>
      <c r="AS3" s="61" t="str">
        <f t="shared" si="0"/>
        <v/>
      </c>
      <c r="AT3" s="61" t="str">
        <f t="shared" si="0"/>
        <v/>
      </c>
      <c r="AU3" s="61" t="str">
        <f t="shared" si="0"/>
        <v/>
      </c>
      <c r="AV3" s="61" t="str">
        <f t="shared" si="0"/>
        <v/>
      </c>
      <c r="AW3" s="61" t="str">
        <f t="shared" si="0"/>
        <v>05</v>
      </c>
      <c r="AX3" s="61" t="str">
        <f t="shared" si="0"/>
        <v>05</v>
      </c>
      <c r="AY3" s="61" t="str">
        <f t="shared" si="0"/>
        <v/>
      </c>
      <c r="AZ3" s="61" t="str">
        <f t="shared" si="0"/>
        <v>05</v>
      </c>
      <c r="BA3" s="61" t="str">
        <f t="shared" si="0"/>
        <v/>
      </c>
      <c r="BB3" s="61" t="str">
        <f t="shared" si="0"/>
        <v>05</v>
      </c>
      <c r="BC3" s="61" t="str">
        <f t="shared" si="0"/>
        <v>05</v>
      </c>
      <c r="BD3" s="61" t="str">
        <f t="shared" si="0"/>
        <v>05</v>
      </c>
      <c r="BE3" s="61" t="str">
        <f t="shared" si="0"/>
        <v>05</v>
      </c>
      <c r="BF3" s="61" t="str">
        <f t="shared" si="0"/>
        <v>05</v>
      </c>
      <c r="BG3" s="61" t="str">
        <f t="shared" si="0"/>
        <v>05</v>
      </c>
      <c r="BH3" s="61" t="str">
        <f t="shared" si="0"/>
        <v/>
      </c>
      <c r="BI3" s="61" t="str">
        <f t="shared" si="0"/>
        <v>05</v>
      </c>
      <c r="BJ3" s="61" t="str">
        <f t="shared" si="0"/>
        <v/>
      </c>
      <c r="BK3" s="61" t="str">
        <f t="shared" si="0"/>
        <v/>
      </c>
      <c r="BL3" s="61" t="str">
        <f t="shared" si="0"/>
        <v>05</v>
      </c>
      <c r="BM3" s="61" t="str">
        <f t="shared" si="0"/>
        <v>05</v>
      </c>
      <c r="BN3" s="61" t="str">
        <f t="shared" si="0"/>
        <v>05</v>
      </c>
      <c r="BO3" s="61" t="str">
        <f t="shared" si="0"/>
        <v/>
      </c>
      <c r="BP3" s="61" t="str">
        <f t="shared" si="0"/>
        <v>05</v>
      </c>
      <c r="BQ3" s="61" t="str">
        <f t="shared" si="0"/>
        <v>05</v>
      </c>
      <c r="BR3" s="61" t="str">
        <f t="shared" si="0"/>
        <v/>
      </c>
      <c r="BS3" s="61" t="str">
        <f t="shared" si="0"/>
        <v>05</v>
      </c>
      <c r="BT3" s="61" t="str">
        <f t="shared" si="0"/>
        <v/>
      </c>
      <c r="BU3" s="61" t="str">
        <f t="shared" si="0"/>
        <v/>
      </c>
      <c r="BV3" s="61" t="str">
        <f t="shared" si="0"/>
        <v>05</v>
      </c>
      <c r="BW3" s="61" t="str">
        <f t="shared" si="0"/>
        <v>05</v>
      </c>
      <c r="BX3" s="61" t="str">
        <f t="shared" si="0"/>
        <v/>
      </c>
      <c r="BY3" s="61" t="str">
        <f t="shared" si="0"/>
        <v/>
      </c>
      <c r="BZ3" s="61" t="str">
        <f t="shared" si="0"/>
        <v/>
      </c>
      <c r="CA3" s="61" t="str">
        <f t="shared" si="0"/>
        <v/>
      </c>
      <c r="CB3" s="61" t="str">
        <f t="shared" si="0"/>
        <v>05</v>
      </c>
      <c r="CC3" s="61" t="str">
        <f t="shared" ref="CC3:EN3" si="1">IF(COUNTA(CC4:CC65536)=0,"","05")</f>
        <v>05</v>
      </c>
      <c r="CD3" s="61" t="str">
        <f t="shared" si="1"/>
        <v/>
      </c>
      <c r="CE3" s="61" t="str">
        <f t="shared" si="1"/>
        <v>05</v>
      </c>
      <c r="CF3" s="61" t="str">
        <f t="shared" si="1"/>
        <v/>
      </c>
      <c r="CG3" s="61" t="str">
        <f t="shared" si="1"/>
        <v>05</v>
      </c>
      <c r="CH3" s="61" t="str">
        <f t="shared" si="1"/>
        <v>05</v>
      </c>
      <c r="CI3" s="61" t="str">
        <f t="shared" si="1"/>
        <v>05</v>
      </c>
      <c r="CJ3" s="61" t="str">
        <f t="shared" si="1"/>
        <v/>
      </c>
      <c r="CK3" s="61" t="str">
        <f t="shared" si="1"/>
        <v>05</v>
      </c>
      <c r="CL3" s="61" t="str">
        <f t="shared" si="1"/>
        <v>05</v>
      </c>
      <c r="CM3" s="61" t="str">
        <f t="shared" si="1"/>
        <v>05</v>
      </c>
      <c r="CN3" s="61" t="str">
        <f t="shared" si="1"/>
        <v>05</v>
      </c>
      <c r="CO3" s="61" t="str">
        <f t="shared" si="1"/>
        <v>05</v>
      </c>
      <c r="CP3" s="61" t="str">
        <f t="shared" si="1"/>
        <v/>
      </c>
      <c r="CQ3" s="61" t="str">
        <f t="shared" si="1"/>
        <v/>
      </c>
      <c r="CR3" s="61" t="str">
        <f t="shared" si="1"/>
        <v/>
      </c>
      <c r="CS3" s="61" t="str">
        <f t="shared" si="1"/>
        <v/>
      </c>
      <c r="CT3" s="61" t="str">
        <f t="shared" si="1"/>
        <v/>
      </c>
      <c r="CU3" s="61" t="str">
        <f t="shared" si="1"/>
        <v/>
      </c>
      <c r="CV3" s="61" t="str">
        <f t="shared" si="1"/>
        <v/>
      </c>
      <c r="CW3" s="61" t="str">
        <f t="shared" si="1"/>
        <v/>
      </c>
      <c r="CX3" s="61" t="str">
        <f t="shared" si="1"/>
        <v/>
      </c>
      <c r="CY3" s="61" t="str">
        <f t="shared" si="1"/>
        <v/>
      </c>
      <c r="CZ3" s="61" t="str">
        <f t="shared" si="1"/>
        <v/>
      </c>
      <c r="DA3" s="61" t="str">
        <f t="shared" si="1"/>
        <v/>
      </c>
      <c r="DB3" s="61" t="str">
        <f t="shared" si="1"/>
        <v/>
      </c>
      <c r="DC3" s="61" t="str">
        <f t="shared" si="1"/>
        <v/>
      </c>
      <c r="DD3" s="61" t="str">
        <f t="shared" si="1"/>
        <v/>
      </c>
      <c r="DE3" s="61" t="str">
        <f t="shared" si="1"/>
        <v/>
      </c>
      <c r="DF3" s="61" t="str">
        <f t="shared" si="1"/>
        <v/>
      </c>
      <c r="DG3" s="61" t="str">
        <f t="shared" si="1"/>
        <v/>
      </c>
      <c r="DH3" s="61" t="str">
        <f t="shared" si="1"/>
        <v/>
      </c>
      <c r="DI3" s="61" t="str">
        <f t="shared" si="1"/>
        <v/>
      </c>
      <c r="DJ3" s="61" t="str">
        <f t="shared" si="1"/>
        <v/>
      </c>
      <c r="DK3" s="61" t="str">
        <f t="shared" si="1"/>
        <v/>
      </c>
      <c r="DL3" s="61" t="str">
        <f t="shared" si="1"/>
        <v/>
      </c>
      <c r="DM3" s="61" t="str">
        <f t="shared" si="1"/>
        <v/>
      </c>
      <c r="DN3" s="61" t="str">
        <f t="shared" si="1"/>
        <v/>
      </c>
      <c r="DO3" s="61" t="str">
        <f t="shared" si="1"/>
        <v/>
      </c>
      <c r="DP3" s="61" t="str">
        <f t="shared" si="1"/>
        <v/>
      </c>
      <c r="DQ3" s="61" t="str">
        <f t="shared" si="1"/>
        <v/>
      </c>
      <c r="DR3" s="61" t="str">
        <f t="shared" si="1"/>
        <v/>
      </c>
      <c r="DS3" s="61" t="str">
        <f t="shared" si="1"/>
        <v/>
      </c>
      <c r="DT3" s="61" t="str">
        <f t="shared" si="1"/>
        <v/>
      </c>
      <c r="DU3" s="61" t="str">
        <f t="shared" si="1"/>
        <v/>
      </c>
      <c r="DV3" s="61" t="str">
        <f t="shared" si="1"/>
        <v/>
      </c>
      <c r="DW3" s="61" t="str">
        <f t="shared" si="1"/>
        <v>05</v>
      </c>
      <c r="DX3" s="61" t="str">
        <f t="shared" si="1"/>
        <v>05</v>
      </c>
      <c r="DY3" s="61" t="str">
        <f t="shared" si="1"/>
        <v>05</v>
      </c>
      <c r="DZ3" s="61" t="str">
        <f t="shared" si="1"/>
        <v>05</v>
      </c>
      <c r="EA3" s="61" t="str">
        <f t="shared" si="1"/>
        <v>05</v>
      </c>
      <c r="EB3" s="61" t="str">
        <f t="shared" si="1"/>
        <v/>
      </c>
      <c r="EC3" s="61" t="str">
        <f t="shared" si="1"/>
        <v>05</v>
      </c>
      <c r="ED3" s="61" t="str">
        <f t="shared" si="1"/>
        <v>05</v>
      </c>
      <c r="EE3" s="61" t="str">
        <f t="shared" si="1"/>
        <v>05</v>
      </c>
      <c r="EF3" s="61" t="str">
        <f t="shared" si="1"/>
        <v>05</v>
      </c>
      <c r="EG3" s="61" t="str">
        <f t="shared" si="1"/>
        <v>05</v>
      </c>
      <c r="EH3" s="61" t="str">
        <f t="shared" si="1"/>
        <v>05</v>
      </c>
      <c r="EI3" s="61" t="str">
        <f t="shared" si="1"/>
        <v>05</v>
      </c>
      <c r="EJ3" s="61" t="str">
        <f t="shared" si="1"/>
        <v>05</v>
      </c>
      <c r="EK3" s="61" t="str">
        <f t="shared" si="1"/>
        <v>05</v>
      </c>
      <c r="EL3" s="61" t="str">
        <f t="shared" si="1"/>
        <v>05</v>
      </c>
      <c r="EM3" s="61" t="str">
        <f t="shared" si="1"/>
        <v>05</v>
      </c>
      <c r="EN3" s="61" t="str">
        <f t="shared" si="1"/>
        <v>05</v>
      </c>
      <c r="EO3" s="61" t="str">
        <f t="shared" ref="EO3:GZ3" si="2">IF(COUNTA(EO4:EO65536)=0,"","05")</f>
        <v>05</v>
      </c>
      <c r="EP3" s="61" t="str">
        <f t="shared" si="2"/>
        <v>05</v>
      </c>
      <c r="EQ3" s="61" t="str">
        <f t="shared" si="2"/>
        <v/>
      </c>
      <c r="ER3" s="61" t="str">
        <f t="shared" si="2"/>
        <v>05</v>
      </c>
      <c r="ES3" s="61" t="str">
        <f t="shared" si="2"/>
        <v>05</v>
      </c>
      <c r="ET3" s="61" t="str">
        <f t="shared" si="2"/>
        <v/>
      </c>
      <c r="EU3" s="61" t="str">
        <f t="shared" si="2"/>
        <v>05</v>
      </c>
      <c r="EV3" s="61" t="str">
        <f t="shared" si="2"/>
        <v/>
      </c>
      <c r="EW3" s="61" t="str">
        <f t="shared" si="2"/>
        <v/>
      </c>
      <c r="EX3" s="61" t="str">
        <f t="shared" si="2"/>
        <v/>
      </c>
      <c r="EY3" s="61" t="str">
        <f t="shared" si="2"/>
        <v/>
      </c>
      <c r="EZ3" s="61" t="str">
        <f t="shared" si="2"/>
        <v/>
      </c>
      <c r="FA3" s="61" t="str">
        <f t="shared" si="2"/>
        <v/>
      </c>
      <c r="FB3" s="61" t="str">
        <f t="shared" si="2"/>
        <v/>
      </c>
      <c r="FC3" s="61" t="str">
        <f t="shared" si="2"/>
        <v>05</v>
      </c>
      <c r="FD3" s="61" t="str">
        <f t="shared" si="2"/>
        <v/>
      </c>
      <c r="FE3" s="61" t="str">
        <f t="shared" si="2"/>
        <v>05</v>
      </c>
      <c r="FF3" s="61" t="str">
        <f t="shared" si="2"/>
        <v>05</v>
      </c>
      <c r="FG3" s="61" t="str">
        <f t="shared" si="2"/>
        <v>05</v>
      </c>
      <c r="FH3" s="61" t="str">
        <f t="shared" si="2"/>
        <v/>
      </c>
      <c r="FI3" s="61" t="str">
        <f t="shared" si="2"/>
        <v>05</v>
      </c>
      <c r="FJ3" s="61" t="str">
        <f t="shared" si="2"/>
        <v>05</v>
      </c>
      <c r="FK3" s="61" t="str">
        <f t="shared" si="2"/>
        <v/>
      </c>
      <c r="FL3" s="61" t="str">
        <f t="shared" si="2"/>
        <v/>
      </c>
      <c r="FM3" s="61" t="str">
        <f t="shared" si="2"/>
        <v/>
      </c>
      <c r="FN3" s="61" t="str">
        <f t="shared" si="2"/>
        <v/>
      </c>
      <c r="FO3" s="61" t="str">
        <f t="shared" si="2"/>
        <v/>
      </c>
      <c r="FP3" s="61" t="str">
        <f t="shared" si="2"/>
        <v/>
      </c>
      <c r="FQ3" s="61" t="str">
        <f t="shared" si="2"/>
        <v/>
      </c>
      <c r="FR3" s="61" t="str">
        <f t="shared" si="2"/>
        <v/>
      </c>
      <c r="FS3" s="61" t="str">
        <f t="shared" si="2"/>
        <v/>
      </c>
      <c r="FT3" s="61" t="str">
        <f t="shared" si="2"/>
        <v/>
      </c>
      <c r="FU3" s="61" t="str">
        <f t="shared" si="2"/>
        <v/>
      </c>
      <c r="FV3" s="61" t="str">
        <f t="shared" si="2"/>
        <v/>
      </c>
      <c r="FW3" s="61" t="str">
        <f t="shared" si="2"/>
        <v/>
      </c>
      <c r="FX3" s="61" t="str">
        <f t="shared" si="2"/>
        <v/>
      </c>
      <c r="FY3" s="61" t="str">
        <f t="shared" si="2"/>
        <v/>
      </c>
      <c r="FZ3" s="61" t="str">
        <f t="shared" si="2"/>
        <v/>
      </c>
      <c r="GA3" s="61" t="str">
        <f t="shared" si="2"/>
        <v/>
      </c>
      <c r="GB3" s="61" t="str">
        <f t="shared" si="2"/>
        <v/>
      </c>
      <c r="GC3" s="61" t="str">
        <f t="shared" si="2"/>
        <v/>
      </c>
      <c r="GD3" s="61" t="str">
        <f t="shared" si="2"/>
        <v/>
      </c>
      <c r="GE3" s="61" t="str">
        <f t="shared" si="2"/>
        <v/>
      </c>
      <c r="GF3" s="61" t="str">
        <f t="shared" si="2"/>
        <v/>
      </c>
      <c r="GG3" s="61" t="str">
        <f t="shared" si="2"/>
        <v/>
      </c>
      <c r="GH3" s="61" t="str">
        <f t="shared" si="2"/>
        <v/>
      </c>
      <c r="GI3" s="61" t="str">
        <f t="shared" si="2"/>
        <v/>
      </c>
      <c r="GJ3" s="61" t="str">
        <f t="shared" si="2"/>
        <v/>
      </c>
      <c r="GK3" s="61" t="str">
        <f t="shared" si="2"/>
        <v/>
      </c>
      <c r="GL3" s="61" t="str">
        <f t="shared" si="2"/>
        <v/>
      </c>
      <c r="GM3" s="61" t="str">
        <f t="shared" si="2"/>
        <v/>
      </c>
      <c r="GN3" s="61" t="str">
        <f t="shared" si="2"/>
        <v/>
      </c>
      <c r="GO3" s="61" t="str">
        <f t="shared" si="2"/>
        <v/>
      </c>
      <c r="GP3" s="61" t="str">
        <f t="shared" si="2"/>
        <v/>
      </c>
      <c r="GQ3" s="61" t="str">
        <f t="shared" si="2"/>
        <v/>
      </c>
      <c r="GR3" s="61" t="str">
        <f t="shared" si="2"/>
        <v/>
      </c>
      <c r="GS3" s="61" t="str">
        <f t="shared" si="2"/>
        <v/>
      </c>
      <c r="GT3" s="61" t="str">
        <f t="shared" si="2"/>
        <v/>
      </c>
      <c r="GU3" s="61" t="str">
        <f t="shared" si="2"/>
        <v/>
      </c>
      <c r="GV3" s="61" t="str">
        <f t="shared" si="2"/>
        <v/>
      </c>
      <c r="GW3" s="61" t="str">
        <f t="shared" si="2"/>
        <v/>
      </c>
      <c r="GX3" s="61" t="str">
        <f t="shared" si="2"/>
        <v/>
      </c>
      <c r="GY3" s="61" t="str">
        <f t="shared" si="2"/>
        <v/>
      </c>
      <c r="GZ3" s="61" t="str">
        <f t="shared" si="2"/>
        <v/>
      </c>
      <c r="HA3" s="61" t="str">
        <f t="shared" ref="HA3:HS3" si="3">IF(COUNTA(HA4:HA65536)=0,"","05")</f>
        <v/>
      </c>
      <c r="HB3" s="61" t="str">
        <f t="shared" si="3"/>
        <v/>
      </c>
      <c r="HC3" s="61" t="str">
        <f t="shared" si="3"/>
        <v/>
      </c>
      <c r="HD3" s="61" t="str">
        <f t="shared" si="3"/>
        <v/>
      </c>
      <c r="HE3" s="61" t="str">
        <f t="shared" si="3"/>
        <v/>
      </c>
      <c r="HF3" s="61" t="str">
        <f t="shared" si="3"/>
        <v/>
      </c>
      <c r="HG3" s="61" t="str">
        <f t="shared" si="3"/>
        <v/>
      </c>
      <c r="HH3" s="61" t="str">
        <f t="shared" si="3"/>
        <v/>
      </c>
      <c r="HI3" s="61" t="str">
        <f t="shared" si="3"/>
        <v/>
      </c>
      <c r="HJ3" s="61" t="str">
        <f t="shared" si="3"/>
        <v/>
      </c>
      <c r="HK3" s="61" t="str">
        <f t="shared" si="3"/>
        <v/>
      </c>
      <c r="HL3" s="61" t="str">
        <f t="shared" si="3"/>
        <v/>
      </c>
      <c r="HM3" s="61" t="str">
        <f t="shared" si="3"/>
        <v/>
      </c>
      <c r="HN3" s="61" t="str">
        <f t="shared" si="3"/>
        <v/>
      </c>
      <c r="HO3" s="61" t="str">
        <f t="shared" si="3"/>
        <v/>
      </c>
      <c r="HP3" s="61" t="str">
        <f t="shared" si="3"/>
        <v/>
      </c>
      <c r="HQ3" s="61" t="str">
        <f t="shared" si="3"/>
        <v/>
      </c>
      <c r="HR3" s="61" t="str">
        <f t="shared" si="3"/>
        <v/>
      </c>
      <c r="HS3" s="61" t="str">
        <f t="shared" si="3"/>
        <v/>
      </c>
    </row>
    <row r="4" spans="1:227" x14ac:dyDescent="0.2">
      <c r="A4" s="1" t="s">
        <v>309</v>
      </c>
      <c r="B4" s="1" t="s">
        <v>310</v>
      </c>
      <c r="C4" s="1" t="s">
        <v>311</v>
      </c>
      <c r="D4" s="1" t="s">
        <v>312</v>
      </c>
      <c r="E4" s="1" t="s">
        <v>7</v>
      </c>
      <c r="F4" s="1" t="s">
        <v>313</v>
      </c>
      <c r="G4" s="1" t="s">
        <v>314</v>
      </c>
      <c r="H4" s="1" t="s">
        <v>315</v>
      </c>
      <c r="I4" s="1">
        <v>3</v>
      </c>
      <c r="L4" s="1" t="s">
        <v>316</v>
      </c>
      <c r="M4" s="1" t="s">
        <v>29</v>
      </c>
      <c r="N4" s="6">
        <v>1</v>
      </c>
      <c r="O4" s="6"/>
      <c r="R4" s="1">
        <v>90</v>
      </c>
      <c r="T4" s="1">
        <v>6.25</v>
      </c>
      <c r="V4" s="1">
        <v>3.9</v>
      </c>
      <c r="AA4" s="1">
        <v>0.7</v>
      </c>
      <c r="AI4" s="1">
        <v>3.6</v>
      </c>
      <c r="AO4" s="1">
        <v>1.1000000000000001</v>
      </c>
      <c r="AW4" s="1">
        <v>0.9</v>
      </c>
      <c r="AX4" s="1">
        <v>101</v>
      </c>
      <c r="BC4" s="1">
        <v>1</v>
      </c>
      <c r="BD4" s="1">
        <v>221</v>
      </c>
      <c r="BE4" s="1">
        <v>49</v>
      </c>
      <c r="BI4" s="1">
        <v>58</v>
      </c>
      <c r="BV4" s="1">
        <v>1300</v>
      </c>
    </row>
    <row r="5" spans="1:227" x14ac:dyDescent="0.2">
      <c r="A5" s="1" t="s">
        <v>317</v>
      </c>
      <c r="B5" s="1" t="s">
        <v>310</v>
      </c>
      <c r="C5" s="1" t="s">
        <v>311</v>
      </c>
      <c r="D5" s="1" t="s">
        <v>318</v>
      </c>
      <c r="E5" s="1" t="s">
        <v>11</v>
      </c>
      <c r="F5" s="1" t="s">
        <v>313</v>
      </c>
      <c r="G5" s="1" t="s">
        <v>314</v>
      </c>
      <c r="H5" s="1" t="s">
        <v>319</v>
      </c>
      <c r="I5" s="1">
        <v>2</v>
      </c>
      <c r="L5" s="1" t="s">
        <v>316</v>
      </c>
      <c r="M5" s="1" t="s">
        <v>29</v>
      </c>
      <c r="N5" s="6">
        <v>1</v>
      </c>
      <c r="O5" s="6"/>
      <c r="Q5" s="1">
        <v>50</v>
      </c>
      <c r="R5" s="1">
        <v>87.8</v>
      </c>
      <c r="T5" s="1">
        <v>6.25</v>
      </c>
      <c r="V5" s="1">
        <v>4.9000000000000004</v>
      </c>
      <c r="AA5" s="1">
        <v>1</v>
      </c>
      <c r="AI5" s="1">
        <v>3.6</v>
      </c>
      <c r="AO5" s="1">
        <v>1.6</v>
      </c>
      <c r="AW5" s="1">
        <v>0.7</v>
      </c>
      <c r="AX5" s="1">
        <v>109</v>
      </c>
      <c r="BC5" s="1">
        <v>4</v>
      </c>
      <c r="BD5" s="1">
        <v>94</v>
      </c>
      <c r="BE5" s="1">
        <v>33</v>
      </c>
      <c r="BI5" s="1">
        <v>55</v>
      </c>
      <c r="BV5" s="1">
        <v>8900</v>
      </c>
    </row>
    <row r="6" spans="1:227" x14ac:dyDescent="0.2">
      <c r="A6" s="1" t="s">
        <v>320</v>
      </c>
      <c r="B6" s="1" t="s">
        <v>310</v>
      </c>
      <c r="C6" s="1" t="s">
        <v>321</v>
      </c>
      <c r="D6" s="1" t="s">
        <v>322</v>
      </c>
      <c r="E6" s="1" t="s">
        <v>7</v>
      </c>
      <c r="F6" s="1" t="s">
        <v>323</v>
      </c>
      <c r="G6" s="1" t="s">
        <v>314</v>
      </c>
      <c r="H6" s="1" t="s">
        <v>315</v>
      </c>
      <c r="I6" s="1">
        <v>2</v>
      </c>
      <c r="L6" s="1" t="s">
        <v>316</v>
      </c>
      <c r="M6" s="1" t="s">
        <v>29</v>
      </c>
      <c r="N6" s="6">
        <v>1</v>
      </c>
      <c r="O6" s="6"/>
      <c r="Q6" s="1">
        <v>57.702702702702702</v>
      </c>
      <c r="R6" s="1">
        <v>89.9</v>
      </c>
      <c r="T6" s="1">
        <v>6.25</v>
      </c>
      <c r="V6" s="1">
        <v>1.7</v>
      </c>
      <c r="AA6" s="1">
        <v>0.6</v>
      </c>
      <c r="AI6" s="1">
        <v>4.5</v>
      </c>
      <c r="AO6" s="1">
        <v>1.5</v>
      </c>
      <c r="AW6" s="1">
        <v>1.4</v>
      </c>
      <c r="AX6" s="1">
        <v>174</v>
      </c>
      <c r="BC6" s="1">
        <v>10</v>
      </c>
      <c r="BD6" s="1">
        <v>285</v>
      </c>
      <c r="BE6" s="1">
        <v>38</v>
      </c>
      <c r="BI6" s="1">
        <v>36</v>
      </c>
      <c r="BV6" s="1">
        <v>2100</v>
      </c>
    </row>
    <row r="7" spans="1:227" x14ac:dyDescent="0.2">
      <c r="A7" s="1" t="s">
        <v>324</v>
      </c>
      <c r="B7" s="1" t="s">
        <v>310</v>
      </c>
      <c r="C7" s="1" t="s">
        <v>321</v>
      </c>
      <c r="D7" s="1" t="s">
        <v>325</v>
      </c>
      <c r="E7" s="1" t="s">
        <v>11</v>
      </c>
      <c r="F7" s="1" t="s">
        <v>323</v>
      </c>
      <c r="G7" s="1" t="s">
        <v>314</v>
      </c>
      <c r="H7" s="1" t="s">
        <v>326</v>
      </c>
      <c r="I7" s="1">
        <v>1</v>
      </c>
      <c r="L7" s="1" t="s">
        <v>316</v>
      </c>
      <c r="M7" s="1" t="s">
        <v>29</v>
      </c>
      <c r="N7" s="6">
        <v>1</v>
      </c>
      <c r="O7" s="6"/>
      <c r="R7" s="1">
        <v>74</v>
      </c>
      <c r="T7" s="1">
        <v>6.25</v>
      </c>
      <c r="V7" s="1">
        <v>7.8</v>
      </c>
      <c r="AA7" s="1">
        <v>2.5</v>
      </c>
      <c r="AI7" s="1">
        <v>6.5</v>
      </c>
      <c r="AO7" s="1">
        <v>5.3</v>
      </c>
      <c r="AW7" s="1">
        <v>1.9</v>
      </c>
      <c r="AX7" s="1">
        <v>434</v>
      </c>
      <c r="BC7" s="1">
        <v>25</v>
      </c>
      <c r="BD7" s="1">
        <v>191</v>
      </c>
      <c r="BE7" s="1">
        <v>59</v>
      </c>
      <c r="BI7" s="1">
        <v>87</v>
      </c>
      <c r="BV7" s="1">
        <v>2240</v>
      </c>
    </row>
    <row r="8" spans="1:227" x14ac:dyDescent="0.2">
      <c r="A8" s="1" t="s">
        <v>327</v>
      </c>
      <c r="B8" s="1" t="s">
        <v>310</v>
      </c>
      <c r="C8" s="1" t="s">
        <v>328</v>
      </c>
      <c r="D8" s="1" t="s">
        <v>329</v>
      </c>
      <c r="E8" s="1" t="s">
        <v>7</v>
      </c>
      <c r="F8" s="1" t="s">
        <v>330</v>
      </c>
      <c r="G8" s="1" t="s">
        <v>314</v>
      </c>
      <c r="H8" s="1" t="s">
        <v>331</v>
      </c>
      <c r="I8" s="1">
        <v>1</v>
      </c>
      <c r="L8" s="1" t="s">
        <v>316</v>
      </c>
      <c r="M8" s="1" t="s">
        <v>29</v>
      </c>
      <c r="N8" s="6">
        <v>1</v>
      </c>
      <c r="O8" s="6"/>
      <c r="R8" s="1">
        <v>93.7</v>
      </c>
      <c r="T8" s="1">
        <v>6.25</v>
      </c>
      <c r="V8" s="1">
        <v>1.8</v>
      </c>
      <c r="AA8" s="1">
        <v>0.6</v>
      </c>
      <c r="AI8" s="1">
        <v>2</v>
      </c>
      <c r="AO8" s="1">
        <v>0.7</v>
      </c>
      <c r="AW8" s="1">
        <v>0.9</v>
      </c>
      <c r="AX8" s="1">
        <v>99</v>
      </c>
      <c r="BC8" s="1">
        <v>4</v>
      </c>
      <c r="BD8" s="1">
        <v>230</v>
      </c>
      <c r="BE8" s="1">
        <v>31</v>
      </c>
      <c r="BI8" s="1">
        <v>37</v>
      </c>
    </row>
    <row r="9" spans="1:227" x14ac:dyDescent="0.2">
      <c r="A9" s="1" t="s">
        <v>332</v>
      </c>
      <c r="B9" s="1" t="s">
        <v>310</v>
      </c>
      <c r="C9" s="1" t="s">
        <v>328</v>
      </c>
      <c r="D9" s="1" t="s">
        <v>333</v>
      </c>
      <c r="E9" s="1" t="s">
        <v>11</v>
      </c>
      <c r="F9" s="1" t="s">
        <v>330</v>
      </c>
      <c r="G9" s="1" t="s">
        <v>314</v>
      </c>
      <c r="H9" s="1" t="s">
        <v>334</v>
      </c>
      <c r="I9" s="1">
        <v>1</v>
      </c>
      <c r="L9" s="1" t="s">
        <v>316</v>
      </c>
      <c r="M9" s="1" t="s">
        <v>29</v>
      </c>
      <c r="N9" s="6">
        <v>1</v>
      </c>
      <c r="O9" s="6"/>
      <c r="R9" s="1">
        <v>86.2</v>
      </c>
      <c r="T9" s="1">
        <v>6.25</v>
      </c>
      <c r="V9" s="1">
        <v>4.8</v>
      </c>
      <c r="AA9" s="1">
        <v>1.2</v>
      </c>
      <c r="AI9" s="1">
        <v>3.3</v>
      </c>
      <c r="AO9" s="1">
        <v>2.2999999999999998</v>
      </c>
      <c r="AW9" s="1">
        <v>1.1000000000000001</v>
      </c>
      <c r="AX9" s="1">
        <v>209</v>
      </c>
      <c r="BC9" s="1">
        <v>9</v>
      </c>
      <c r="BD9" s="1">
        <v>152</v>
      </c>
      <c r="BE9" s="1">
        <v>43</v>
      </c>
      <c r="BI9" s="1">
        <v>77</v>
      </c>
    </row>
    <row r="10" spans="1:227" x14ac:dyDescent="0.2">
      <c r="A10" s="1" t="s">
        <v>335</v>
      </c>
      <c r="B10" s="1" t="s">
        <v>310</v>
      </c>
      <c r="C10" s="1" t="s">
        <v>336</v>
      </c>
      <c r="D10" s="1" t="s">
        <v>337</v>
      </c>
      <c r="E10" s="1" t="s">
        <v>7</v>
      </c>
      <c r="F10" s="1" t="s">
        <v>338</v>
      </c>
      <c r="G10" s="1" t="s">
        <v>314</v>
      </c>
      <c r="H10" s="1" t="s">
        <v>331</v>
      </c>
      <c r="I10" s="1">
        <v>1</v>
      </c>
      <c r="L10" s="1" t="s">
        <v>316</v>
      </c>
      <c r="M10" s="1" t="s">
        <v>29</v>
      </c>
      <c r="N10" s="6">
        <v>1</v>
      </c>
      <c r="O10" s="6"/>
      <c r="R10" s="1">
        <v>88.7</v>
      </c>
      <c r="T10" s="1">
        <v>6.25</v>
      </c>
      <c r="V10" s="1">
        <v>2.2000000000000002</v>
      </c>
      <c r="AA10" s="1">
        <v>0.4</v>
      </c>
      <c r="AI10" s="1">
        <v>4.7</v>
      </c>
      <c r="AO10" s="1">
        <v>1.3</v>
      </c>
      <c r="AW10" s="1">
        <v>1.8</v>
      </c>
      <c r="AX10" s="1">
        <v>129</v>
      </c>
      <c r="BC10" s="1">
        <v>3</v>
      </c>
      <c r="BD10" s="1">
        <v>559</v>
      </c>
      <c r="BE10" s="1">
        <v>19</v>
      </c>
      <c r="BI10" s="1">
        <v>58</v>
      </c>
    </row>
    <row r="11" spans="1:227" x14ac:dyDescent="0.2">
      <c r="A11" s="1" t="s">
        <v>339</v>
      </c>
      <c r="B11" s="1" t="s">
        <v>310</v>
      </c>
      <c r="C11" s="1" t="s">
        <v>336</v>
      </c>
      <c r="D11" s="1" t="s">
        <v>322</v>
      </c>
      <c r="E11" s="1" t="s">
        <v>11</v>
      </c>
      <c r="F11" s="1" t="s">
        <v>338</v>
      </c>
      <c r="G11" s="1" t="s">
        <v>314</v>
      </c>
      <c r="H11" s="1" t="s">
        <v>340</v>
      </c>
      <c r="I11" s="1">
        <v>1</v>
      </c>
      <c r="L11" s="1" t="s">
        <v>316</v>
      </c>
      <c r="M11" s="1" t="s">
        <v>29</v>
      </c>
      <c r="N11" s="6">
        <v>1</v>
      </c>
      <c r="O11" s="6"/>
      <c r="R11" s="1">
        <v>85.3</v>
      </c>
      <c r="T11" s="1">
        <v>6.25</v>
      </c>
      <c r="V11" s="1">
        <v>4.9000000000000004</v>
      </c>
      <c r="AA11" s="1">
        <v>1.2</v>
      </c>
      <c r="AI11" s="1">
        <v>3.9</v>
      </c>
      <c r="AO11" s="1">
        <v>2.2000000000000002</v>
      </c>
      <c r="AW11" s="1">
        <v>1.5</v>
      </c>
      <c r="AX11" s="1">
        <v>229</v>
      </c>
      <c r="BC11" s="1">
        <v>4</v>
      </c>
      <c r="BD11" s="1">
        <v>391</v>
      </c>
      <c r="BE11" s="1">
        <v>29</v>
      </c>
      <c r="BI11" s="1">
        <v>65</v>
      </c>
    </row>
    <row r="12" spans="1:227" x14ac:dyDescent="0.2">
      <c r="A12" s="1" t="s">
        <v>341</v>
      </c>
      <c r="B12" s="1" t="s">
        <v>310</v>
      </c>
      <c r="C12" s="1" t="s">
        <v>342</v>
      </c>
      <c r="D12" s="1" t="s">
        <v>325</v>
      </c>
      <c r="E12" s="1" t="s">
        <v>7</v>
      </c>
      <c r="F12" s="1" t="s">
        <v>343</v>
      </c>
      <c r="G12" s="1" t="s">
        <v>314</v>
      </c>
      <c r="H12" s="1" t="s">
        <v>331</v>
      </c>
      <c r="I12" s="1">
        <v>2</v>
      </c>
      <c r="L12" s="1" t="s">
        <v>316</v>
      </c>
      <c r="M12" s="1" t="s">
        <v>29</v>
      </c>
      <c r="N12" s="6">
        <v>1</v>
      </c>
      <c r="O12" s="6"/>
      <c r="R12" s="1">
        <v>91</v>
      </c>
      <c r="T12" s="1">
        <v>6.25</v>
      </c>
      <c r="V12" s="1">
        <v>2.5</v>
      </c>
      <c r="AA12" s="1">
        <v>0.7</v>
      </c>
      <c r="AI12" s="1">
        <v>3.4</v>
      </c>
      <c r="AO12" s="1">
        <v>0.9</v>
      </c>
      <c r="AW12" s="1">
        <v>1.3</v>
      </c>
      <c r="AX12" s="1">
        <v>203</v>
      </c>
      <c r="BC12" s="1">
        <v>2</v>
      </c>
      <c r="BD12" s="1">
        <v>285</v>
      </c>
      <c r="BE12" s="1">
        <v>40</v>
      </c>
      <c r="BI12" s="1">
        <v>32</v>
      </c>
    </row>
    <row r="13" spans="1:227" x14ac:dyDescent="0.2">
      <c r="A13" s="1" t="s">
        <v>344</v>
      </c>
      <c r="B13" s="1" t="s">
        <v>310</v>
      </c>
      <c r="C13" s="1" t="s">
        <v>345</v>
      </c>
      <c r="D13" s="1" t="s">
        <v>346</v>
      </c>
      <c r="E13" s="1" t="s">
        <v>7</v>
      </c>
      <c r="F13" s="1" t="s">
        <v>347</v>
      </c>
      <c r="G13" s="1" t="s">
        <v>314</v>
      </c>
      <c r="H13" s="1" t="s">
        <v>331</v>
      </c>
      <c r="I13" s="1">
        <v>1</v>
      </c>
      <c r="L13" s="1" t="s">
        <v>316</v>
      </c>
      <c r="M13" s="1" t="s">
        <v>29</v>
      </c>
      <c r="N13" s="6">
        <v>1</v>
      </c>
      <c r="O13" s="6"/>
      <c r="R13" s="1">
        <v>84.8</v>
      </c>
      <c r="T13" s="1">
        <v>6.25</v>
      </c>
      <c r="V13" s="1">
        <v>4.8</v>
      </c>
      <c r="AA13" s="1">
        <v>1.2</v>
      </c>
      <c r="AI13" s="1">
        <v>4.5999999999999996</v>
      </c>
      <c r="AO13" s="1">
        <v>2.6</v>
      </c>
      <c r="AW13" s="1">
        <v>1.3</v>
      </c>
      <c r="AX13" s="1">
        <v>159</v>
      </c>
      <c r="BC13" s="1">
        <v>2</v>
      </c>
      <c r="BD13" s="1">
        <v>355</v>
      </c>
      <c r="BE13" s="1">
        <v>40</v>
      </c>
      <c r="BI13" s="1">
        <v>71</v>
      </c>
    </row>
    <row r="14" spans="1:227" x14ac:dyDescent="0.2">
      <c r="A14" s="1" t="s">
        <v>348</v>
      </c>
      <c r="B14" s="1" t="s">
        <v>310</v>
      </c>
      <c r="C14" s="1" t="s">
        <v>349</v>
      </c>
      <c r="D14" s="1" t="s">
        <v>350</v>
      </c>
      <c r="E14" s="1" t="s">
        <v>7</v>
      </c>
      <c r="F14" s="1" t="s">
        <v>351</v>
      </c>
      <c r="G14" s="1" t="s">
        <v>314</v>
      </c>
      <c r="H14" s="1" t="s">
        <v>331</v>
      </c>
      <c r="I14" s="1">
        <v>2</v>
      </c>
      <c r="L14" s="1" t="s">
        <v>316</v>
      </c>
      <c r="M14" s="1" t="s">
        <v>29</v>
      </c>
      <c r="N14" s="6">
        <v>1</v>
      </c>
      <c r="O14" s="6"/>
      <c r="R14" s="1">
        <v>88</v>
      </c>
      <c r="T14" s="1">
        <v>6.25</v>
      </c>
      <c r="V14" s="1">
        <v>3.5</v>
      </c>
      <c r="AA14" s="1">
        <v>0.7</v>
      </c>
      <c r="AI14" s="1">
        <v>4.2</v>
      </c>
      <c r="AO14" s="1">
        <v>1.8</v>
      </c>
      <c r="AW14" s="1">
        <v>1.4</v>
      </c>
      <c r="AX14" s="1">
        <v>92</v>
      </c>
      <c r="BC14" s="1">
        <v>2</v>
      </c>
      <c r="BD14" s="1">
        <v>301</v>
      </c>
      <c r="BE14" s="1">
        <v>32</v>
      </c>
      <c r="BI14" s="1">
        <v>69</v>
      </c>
    </row>
    <row r="15" spans="1:227" x14ac:dyDescent="0.2">
      <c r="A15" s="1" t="s">
        <v>352</v>
      </c>
      <c r="B15" s="1" t="s">
        <v>353</v>
      </c>
      <c r="D15" s="1" t="s">
        <v>354</v>
      </c>
      <c r="E15" s="1" t="s">
        <v>7</v>
      </c>
      <c r="F15" s="1" t="s">
        <v>355</v>
      </c>
      <c r="L15" s="1" t="s">
        <v>356</v>
      </c>
      <c r="M15" s="1" t="s">
        <v>29</v>
      </c>
      <c r="N15" s="6">
        <v>1</v>
      </c>
      <c r="O15" s="6"/>
      <c r="R15" s="1">
        <v>82</v>
      </c>
      <c r="BE15" s="1">
        <v>1000</v>
      </c>
      <c r="CL15" s="1">
        <v>3.4</v>
      </c>
    </row>
    <row r="16" spans="1:227" x14ac:dyDescent="0.2">
      <c r="A16" s="1" t="s">
        <v>357</v>
      </c>
      <c r="B16" s="1" t="s">
        <v>353</v>
      </c>
      <c r="D16" s="1" t="s">
        <v>358</v>
      </c>
      <c r="E16" s="1" t="s">
        <v>11</v>
      </c>
      <c r="F16" s="1" t="s">
        <v>355</v>
      </c>
      <c r="H16" s="1" t="s">
        <v>359</v>
      </c>
      <c r="L16" s="1" t="s">
        <v>356</v>
      </c>
      <c r="M16" s="1" t="s">
        <v>29</v>
      </c>
      <c r="N16" s="6">
        <v>1</v>
      </c>
      <c r="O16" s="6"/>
      <c r="R16" s="1">
        <v>82</v>
      </c>
      <c r="CL16" s="1">
        <v>1.5</v>
      </c>
    </row>
    <row r="17" spans="1:90" x14ac:dyDescent="0.2">
      <c r="A17" s="1" t="s">
        <v>360</v>
      </c>
      <c r="B17" s="1" t="s">
        <v>353</v>
      </c>
      <c r="D17" s="1" t="s">
        <v>358</v>
      </c>
      <c r="E17" s="1" t="s">
        <v>11</v>
      </c>
      <c r="F17" s="1" t="s">
        <v>355</v>
      </c>
      <c r="H17" s="1" t="s">
        <v>361</v>
      </c>
      <c r="L17" s="1" t="s">
        <v>356</v>
      </c>
      <c r="M17" s="1" t="s">
        <v>29</v>
      </c>
      <c r="N17" s="6">
        <v>1</v>
      </c>
      <c r="O17" s="6"/>
      <c r="R17" s="1">
        <v>82</v>
      </c>
      <c r="CL17" s="1">
        <v>1.5</v>
      </c>
    </row>
    <row r="18" spans="1:90" x14ac:dyDescent="0.2">
      <c r="A18" s="1" t="s">
        <v>362</v>
      </c>
      <c r="B18" s="1" t="s">
        <v>353</v>
      </c>
      <c r="D18" s="1" t="s">
        <v>363</v>
      </c>
      <c r="E18" s="1" t="s">
        <v>7</v>
      </c>
      <c r="F18" s="1" t="s">
        <v>364</v>
      </c>
      <c r="L18" s="1" t="s">
        <v>356</v>
      </c>
      <c r="M18" s="1" t="s">
        <v>29</v>
      </c>
      <c r="N18" s="6">
        <v>1</v>
      </c>
      <c r="O18" s="6"/>
      <c r="R18" s="1">
        <v>90.6</v>
      </c>
      <c r="CL18" s="1">
        <v>42.2</v>
      </c>
    </row>
    <row r="19" spans="1:90" x14ac:dyDescent="0.2">
      <c r="A19" s="1" t="s">
        <v>365</v>
      </c>
      <c r="B19" s="1" t="s">
        <v>353</v>
      </c>
      <c r="D19" s="1" t="s">
        <v>366</v>
      </c>
      <c r="E19" s="1" t="s">
        <v>11</v>
      </c>
      <c r="F19" s="1" t="s">
        <v>364</v>
      </c>
      <c r="H19" s="1" t="s">
        <v>359</v>
      </c>
      <c r="L19" s="1" t="s">
        <v>356</v>
      </c>
      <c r="M19" s="1" t="s">
        <v>29</v>
      </c>
      <c r="N19" s="6">
        <v>1</v>
      </c>
      <c r="O19" s="6"/>
      <c r="R19" s="1">
        <v>90.6</v>
      </c>
      <c r="CL19" s="1">
        <v>5.9</v>
      </c>
    </row>
    <row r="20" spans="1:90" x14ac:dyDescent="0.2">
      <c r="A20" s="1" t="s">
        <v>367</v>
      </c>
      <c r="B20" s="1" t="s">
        <v>353</v>
      </c>
      <c r="D20" s="1" t="s">
        <v>366</v>
      </c>
      <c r="E20" s="1" t="s">
        <v>11</v>
      </c>
      <c r="F20" s="1" t="s">
        <v>364</v>
      </c>
      <c r="H20" s="1" t="s">
        <v>361</v>
      </c>
      <c r="L20" s="1" t="s">
        <v>356</v>
      </c>
      <c r="M20" s="1" t="s">
        <v>29</v>
      </c>
      <c r="N20" s="6">
        <v>1</v>
      </c>
      <c r="O20" s="6"/>
      <c r="R20" s="1">
        <v>90.6</v>
      </c>
      <c r="CL20" s="1">
        <v>20.5</v>
      </c>
    </row>
    <row r="21" spans="1:90" x14ac:dyDescent="0.2">
      <c r="A21" s="1" t="s">
        <v>368</v>
      </c>
      <c r="B21" s="1" t="s">
        <v>353</v>
      </c>
      <c r="D21" s="1" t="s">
        <v>369</v>
      </c>
      <c r="E21" s="1" t="s">
        <v>7</v>
      </c>
      <c r="F21" s="1" t="s">
        <v>370</v>
      </c>
      <c r="L21" s="1" t="s">
        <v>356</v>
      </c>
      <c r="M21" s="1" t="s">
        <v>29</v>
      </c>
      <c r="N21" s="6">
        <v>1</v>
      </c>
      <c r="O21" s="6"/>
      <c r="R21" s="1">
        <v>90.4</v>
      </c>
      <c r="CL21" s="1">
        <v>0.7</v>
      </c>
    </row>
    <row r="22" spans="1:90" x14ac:dyDescent="0.2">
      <c r="A22" s="1" t="s">
        <v>371</v>
      </c>
      <c r="B22" s="1" t="s">
        <v>353</v>
      </c>
      <c r="D22" s="1" t="s">
        <v>372</v>
      </c>
      <c r="E22" s="1" t="s">
        <v>11</v>
      </c>
      <c r="F22" s="1" t="s">
        <v>370</v>
      </c>
      <c r="H22" s="1" t="s">
        <v>359</v>
      </c>
      <c r="L22" s="1" t="s">
        <v>356</v>
      </c>
      <c r="M22" s="1" t="s">
        <v>29</v>
      </c>
      <c r="N22" s="6">
        <v>1</v>
      </c>
      <c r="O22" s="6"/>
      <c r="R22" s="1">
        <v>90.4</v>
      </c>
      <c r="CL22" s="1">
        <v>0.7</v>
      </c>
    </row>
    <row r="23" spans="1:90" x14ac:dyDescent="0.2">
      <c r="A23" s="1" t="s">
        <v>373</v>
      </c>
      <c r="B23" s="1" t="s">
        <v>353</v>
      </c>
      <c r="D23" s="1" t="s">
        <v>372</v>
      </c>
      <c r="E23" s="1" t="s">
        <v>11</v>
      </c>
      <c r="F23" s="1" t="s">
        <v>370</v>
      </c>
      <c r="H23" s="1" t="s">
        <v>361</v>
      </c>
      <c r="L23" s="1" t="s">
        <v>356</v>
      </c>
      <c r="M23" s="1" t="s">
        <v>29</v>
      </c>
      <c r="N23" s="6">
        <v>1</v>
      </c>
      <c r="O23" s="6"/>
      <c r="R23" s="1">
        <v>90.4</v>
      </c>
      <c r="CL23" s="1">
        <v>0.7</v>
      </c>
    </row>
    <row r="24" spans="1:90" x14ac:dyDescent="0.2">
      <c r="A24" s="1" t="s">
        <v>374</v>
      </c>
      <c r="B24" s="1" t="s">
        <v>353</v>
      </c>
      <c r="D24" s="1" t="s">
        <v>375</v>
      </c>
      <c r="E24" s="1" t="s">
        <v>7</v>
      </c>
      <c r="F24" s="1" t="s">
        <v>376</v>
      </c>
      <c r="L24" s="1" t="s">
        <v>356</v>
      </c>
      <c r="M24" s="1" t="s">
        <v>29</v>
      </c>
      <c r="N24" s="6">
        <v>1</v>
      </c>
      <c r="O24" s="6"/>
      <c r="R24" s="1">
        <v>75</v>
      </c>
      <c r="CL24" s="1">
        <v>57.2</v>
      </c>
    </row>
    <row r="25" spans="1:90" x14ac:dyDescent="0.2">
      <c r="A25" s="1" t="s">
        <v>377</v>
      </c>
      <c r="B25" s="1" t="s">
        <v>353</v>
      </c>
      <c r="D25" s="1" t="s">
        <v>378</v>
      </c>
      <c r="E25" s="1" t="s">
        <v>11</v>
      </c>
      <c r="F25" s="1" t="s">
        <v>376</v>
      </c>
      <c r="H25" s="1" t="s">
        <v>359</v>
      </c>
      <c r="L25" s="1" t="s">
        <v>356</v>
      </c>
      <c r="M25" s="1" t="s">
        <v>29</v>
      </c>
      <c r="N25" s="6">
        <v>1</v>
      </c>
      <c r="O25" s="6"/>
      <c r="R25" s="1">
        <v>75</v>
      </c>
      <c r="CL25" s="1">
        <v>1.7</v>
      </c>
    </row>
    <row r="26" spans="1:90" x14ac:dyDescent="0.2">
      <c r="A26" s="1" t="s">
        <v>379</v>
      </c>
      <c r="B26" s="1" t="s">
        <v>353</v>
      </c>
      <c r="D26" s="1" t="s">
        <v>378</v>
      </c>
      <c r="E26" s="1" t="s">
        <v>11</v>
      </c>
      <c r="F26" s="1" t="s">
        <v>376</v>
      </c>
      <c r="H26" s="1" t="s">
        <v>361</v>
      </c>
      <c r="L26" s="1" t="s">
        <v>356</v>
      </c>
      <c r="M26" s="1" t="s">
        <v>29</v>
      </c>
      <c r="N26" s="6">
        <v>1</v>
      </c>
      <c r="O26" s="6"/>
      <c r="R26" s="1">
        <v>75</v>
      </c>
      <c r="CL26" s="1">
        <v>1.9</v>
      </c>
    </row>
    <row r="27" spans="1:90" x14ac:dyDescent="0.2">
      <c r="A27" s="1" t="s">
        <v>380</v>
      </c>
      <c r="B27" s="1" t="s">
        <v>353</v>
      </c>
      <c r="C27" s="1" t="s">
        <v>381</v>
      </c>
      <c r="D27" s="1" t="s">
        <v>322</v>
      </c>
      <c r="E27" s="1" t="s">
        <v>7</v>
      </c>
      <c r="F27" s="1" t="s">
        <v>382</v>
      </c>
      <c r="L27" s="1" t="s">
        <v>356</v>
      </c>
      <c r="M27" s="1" t="s">
        <v>29</v>
      </c>
      <c r="N27" s="6">
        <v>1</v>
      </c>
      <c r="O27" s="6"/>
      <c r="R27" s="1">
        <v>85</v>
      </c>
      <c r="CL27" s="1">
        <v>54.4</v>
      </c>
    </row>
    <row r="28" spans="1:90" x14ac:dyDescent="0.2">
      <c r="A28" s="1" t="s">
        <v>383</v>
      </c>
      <c r="B28" s="1" t="s">
        <v>353</v>
      </c>
      <c r="C28" s="1" t="s">
        <v>381</v>
      </c>
      <c r="D28" s="1" t="s">
        <v>384</v>
      </c>
      <c r="E28" s="1" t="s">
        <v>11</v>
      </c>
      <c r="F28" s="1" t="s">
        <v>382</v>
      </c>
      <c r="H28" s="1" t="s">
        <v>359</v>
      </c>
      <c r="L28" s="1" t="s">
        <v>356</v>
      </c>
      <c r="M28" s="1" t="s">
        <v>29</v>
      </c>
      <c r="N28" s="6">
        <v>1</v>
      </c>
      <c r="O28" s="6"/>
      <c r="R28" s="1">
        <v>85</v>
      </c>
      <c r="CL28" s="1">
        <v>1.3</v>
      </c>
    </row>
    <row r="29" spans="1:90" x14ac:dyDescent="0.2">
      <c r="A29" s="1" t="s">
        <v>385</v>
      </c>
      <c r="B29" s="1" t="s">
        <v>353</v>
      </c>
      <c r="C29" s="1" t="s">
        <v>381</v>
      </c>
      <c r="D29" s="1" t="s">
        <v>384</v>
      </c>
      <c r="E29" s="1" t="s">
        <v>11</v>
      </c>
      <c r="F29" s="1" t="s">
        <v>382</v>
      </c>
      <c r="H29" s="1" t="s">
        <v>361</v>
      </c>
      <c r="L29" s="1" t="s">
        <v>356</v>
      </c>
      <c r="M29" s="1" t="s">
        <v>29</v>
      </c>
      <c r="N29" s="6">
        <v>1</v>
      </c>
      <c r="O29" s="6"/>
      <c r="R29" s="1">
        <v>85</v>
      </c>
      <c r="CL29" s="1">
        <v>1.6</v>
      </c>
    </row>
    <row r="30" spans="1:90" x14ac:dyDescent="0.2">
      <c r="A30" s="1" t="s">
        <v>386</v>
      </c>
      <c r="B30" s="1" t="s">
        <v>353</v>
      </c>
      <c r="D30" s="1" t="s">
        <v>387</v>
      </c>
      <c r="E30" s="1" t="s">
        <v>7</v>
      </c>
      <c r="F30" s="1" t="s">
        <v>388</v>
      </c>
      <c r="L30" s="1" t="s">
        <v>356</v>
      </c>
      <c r="M30" s="1" t="s">
        <v>29</v>
      </c>
      <c r="N30" s="6">
        <v>1</v>
      </c>
      <c r="O30" s="6"/>
      <c r="R30" s="1">
        <v>86</v>
      </c>
      <c r="CL30" s="1">
        <v>1.9</v>
      </c>
    </row>
    <row r="31" spans="1:90" x14ac:dyDescent="0.2">
      <c r="A31" s="1" t="s">
        <v>389</v>
      </c>
      <c r="B31" s="1" t="s">
        <v>353</v>
      </c>
      <c r="D31" s="1" t="s">
        <v>390</v>
      </c>
      <c r="E31" s="1" t="s">
        <v>11</v>
      </c>
      <c r="F31" s="1" t="s">
        <v>388</v>
      </c>
      <c r="H31" s="1" t="s">
        <v>359</v>
      </c>
      <c r="L31" s="1" t="s">
        <v>356</v>
      </c>
      <c r="M31" s="1" t="s">
        <v>29</v>
      </c>
      <c r="N31" s="6">
        <v>1</v>
      </c>
      <c r="O31" s="6"/>
      <c r="R31" s="1">
        <v>86</v>
      </c>
      <c r="CL31" s="1">
        <v>1.5</v>
      </c>
    </row>
    <row r="32" spans="1:90" x14ac:dyDescent="0.2">
      <c r="A32" s="1" t="s">
        <v>391</v>
      </c>
      <c r="B32" s="1" t="s">
        <v>353</v>
      </c>
      <c r="D32" s="1" t="s">
        <v>390</v>
      </c>
      <c r="E32" s="1" t="s">
        <v>11</v>
      </c>
      <c r="F32" s="1" t="s">
        <v>388</v>
      </c>
      <c r="H32" s="1" t="s">
        <v>361</v>
      </c>
      <c r="L32" s="1" t="s">
        <v>356</v>
      </c>
      <c r="M32" s="1" t="s">
        <v>29</v>
      </c>
      <c r="N32" s="6">
        <v>1</v>
      </c>
      <c r="O32" s="6"/>
      <c r="R32" s="1">
        <v>86</v>
      </c>
      <c r="CL32" s="1">
        <v>1.5</v>
      </c>
    </row>
    <row r="33" spans="1:91" x14ac:dyDescent="0.2">
      <c r="A33" s="1" t="s">
        <v>392</v>
      </c>
      <c r="B33" s="1" t="s">
        <v>353</v>
      </c>
      <c r="D33" s="1" t="s">
        <v>393</v>
      </c>
      <c r="E33" s="1" t="s">
        <v>7</v>
      </c>
      <c r="F33" s="1" t="s">
        <v>394</v>
      </c>
      <c r="L33" s="1" t="s">
        <v>356</v>
      </c>
      <c r="M33" s="1" t="s">
        <v>29</v>
      </c>
      <c r="N33" s="6">
        <v>1</v>
      </c>
      <c r="O33" s="6"/>
      <c r="R33" s="1">
        <v>82</v>
      </c>
      <c r="CL33" s="1">
        <v>58.4</v>
      </c>
    </row>
    <row r="34" spans="1:91" x14ac:dyDescent="0.2">
      <c r="A34" s="1" t="s">
        <v>395</v>
      </c>
      <c r="B34" s="1" t="s">
        <v>353</v>
      </c>
      <c r="D34" s="1" t="s">
        <v>396</v>
      </c>
      <c r="E34" s="1" t="s">
        <v>11</v>
      </c>
      <c r="F34" s="1" t="s">
        <v>394</v>
      </c>
      <c r="H34" s="1" t="s">
        <v>397</v>
      </c>
      <c r="L34" s="1" t="s">
        <v>356</v>
      </c>
      <c r="M34" s="1" t="s">
        <v>29</v>
      </c>
      <c r="N34" s="6">
        <v>1</v>
      </c>
      <c r="O34" s="6"/>
      <c r="R34" s="1">
        <v>82</v>
      </c>
      <c r="CL34" s="1">
        <v>1.7</v>
      </c>
    </row>
    <row r="35" spans="1:91" x14ac:dyDescent="0.2">
      <c r="A35" s="1" t="s">
        <v>398</v>
      </c>
      <c r="B35" s="1" t="s">
        <v>353</v>
      </c>
      <c r="D35" s="1" t="s">
        <v>396</v>
      </c>
      <c r="E35" s="1" t="s">
        <v>11</v>
      </c>
      <c r="F35" s="1" t="s">
        <v>394</v>
      </c>
      <c r="H35" s="1" t="s">
        <v>399</v>
      </c>
      <c r="L35" s="1" t="s">
        <v>356</v>
      </c>
      <c r="M35" s="1" t="s">
        <v>29</v>
      </c>
      <c r="N35" s="6">
        <v>1</v>
      </c>
      <c r="O35" s="6"/>
      <c r="R35" s="1">
        <v>82</v>
      </c>
      <c r="CL35" s="1">
        <v>35.6</v>
      </c>
    </row>
    <row r="36" spans="1:91" x14ac:dyDescent="0.2">
      <c r="A36" s="1" t="s">
        <v>400</v>
      </c>
      <c r="B36" s="1" t="s">
        <v>353</v>
      </c>
      <c r="D36" s="1" t="s">
        <v>393</v>
      </c>
      <c r="E36" s="1" t="s">
        <v>7</v>
      </c>
      <c r="F36" s="1" t="s">
        <v>401</v>
      </c>
      <c r="L36" s="1" t="s">
        <v>356</v>
      </c>
      <c r="M36" s="1" t="s">
        <v>29</v>
      </c>
      <c r="N36" s="6">
        <v>1</v>
      </c>
      <c r="O36" s="6"/>
      <c r="R36" s="1">
        <v>87</v>
      </c>
      <c r="CL36" s="1">
        <v>36.700000000000003</v>
      </c>
    </row>
    <row r="37" spans="1:91" x14ac:dyDescent="0.2">
      <c r="A37" s="1" t="s">
        <v>402</v>
      </c>
      <c r="B37" s="1" t="s">
        <v>353</v>
      </c>
      <c r="D37" s="1" t="s">
        <v>396</v>
      </c>
      <c r="E37" s="1" t="s">
        <v>11</v>
      </c>
      <c r="F37" s="1" t="s">
        <v>401</v>
      </c>
      <c r="H37" s="1" t="s">
        <v>397</v>
      </c>
      <c r="L37" s="1" t="s">
        <v>356</v>
      </c>
      <c r="M37" s="1" t="s">
        <v>29</v>
      </c>
      <c r="N37" s="6">
        <v>1</v>
      </c>
      <c r="O37" s="6"/>
      <c r="R37" s="1">
        <v>87</v>
      </c>
      <c r="CL37" s="1">
        <v>4.0999999999999996</v>
      </c>
    </row>
    <row r="38" spans="1:91" x14ac:dyDescent="0.2">
      <c r="A38" s="1" t="s">
        <v>403</v>
      </c>
      <c r="B38" s="1" t="s">
        <v>353</v>
      </c>
      <c r="D38" s="1" t="s">
        <v>396</v>
      </c>
      <c r="E38" s="1" t="s">
        <v>11</v>
      </c>
      <c r="F38" s="1" t="s">
        <v>401</v>
      </c>
      <c r="H38" s="1" t="s">
        <v>399</v>
      </c>
      <c r="L38" s="1" t="s">
        <v>356</v>
      </c>
      <c r="M38" s="1" t="s">
        <v>29</v>
      </c>
      <c r="N38" s="6">
        <v>1</v>
      </c>
      <c r="O38" s="6"/>
      <c r="R38" s="1">
        <v>87</v>
      </c>
      <c r="CL38" s="1">
        <v>16</v>
      </c>
    </row>
    <row r="39" spans="1:91" x14ac:dyDescent="0.2">
      <c r="A39" s="1" t="s">
        <v>404</v>
      </c>
      <c r="B39" s="1" t="s">
        <v>405</v>
      </c>
      <c r="C39" s="1" t="s">
        <v>406</v>
      </c>
      <c r="D39" s="1" t="s">
        <v>407</v>
      </c>
      <c r="E39" s="1" t="s">
        <v>7</v>
      </c>
      <c r="F39" s="1" t="s">
        <v>408</v>
      </c>
      <c r="H39" s="1" t="s">
        <v>409</v>
      </c>
      <c r="L39" s="1" t="s">
        <v>410</v>
      </c>
      <c r="M39" s="1" t="s">
        <v>29</v>
      </c>
      <c r="N39" s="6">
        <v>1</v>
      </c>
      <c r="O39" s="6"/>
      <c r="CM39" s="1">
        <v>52.2</v>
      </c>
    </row>
    <row r="40" spans="1:91" x14ac:dyDescent="0.2">
      <c r="A40" s="1" t="s">
        <v>411</v>
      </c>
      <c r="B40" s="1" t="s">
        <v>405</v>
      </c>
      <c r="C40" s="1" t="s">
        <v>406</v>
      </c>
      <c r="D40" s="1" t="s">
        <v>412</v>
      </c>
      <c r="E40" s="1" t="s">
        <v>11</v>
      </c>
      <c r="F40" s="1" t="s">
        <v>408</v>
      </c>
      <c r="H40" s="1" t="s">
        <v>413</v>
      </c>
      <c r="L40" s="1" t="s">
        <v>410</v>
      </c>
      <c r="M40" s="1" t="s">
        <v>29</v>
      </c>
      <c r="N40" s="6">
        <v>1</v>
      </c>
      <c r="O40" s="6"/>
      <c r="CM40" s="1">
        <v>16.899999999999999</v>
      </c>
    </row>
    <row r="41" spans="1:91" x14ac:dyDescent="0.2">
      <c r="A41" s="1" t="s">
        <v>414</v>
      </c>
      <c r="B41" s="1" t="s">
        <v>405</v>
      </c>
      <c r="C41" s="1" t="s">
        <v>415</v>
      </c>
      <c r="D41" s="1" t="s">
        <v>416</v>
      </c>
      <c r="E41" s="1" t="s">
        <v>7</v>
      </c>
      <c r="F41" s="1" t="s">
        <v>417</v>
      </c>
      <c r="H41" s="1" t="s">
        <v>418</v>
      </c>
      <c r="L41" s="1" t="s">
        <v>410</v>
      </c>
      <c r="M41" s="1" t="s">
        <v>29</v>
      </c>
      <c r="N41" s="6">
        <v>1</v>
      </c>
      <c r="O41" s="6"/>
      <c r="CM41" s="1">
        <v>70</v>
      </c>
    </row>
    <row r="42" spans="1:91" x14ac:dyDescent="0.2">
      <c r="A42" s="1" t="s">
        <v>419</v>
      </c>
      <c r="B42" s="1" t="s">
        <v>405</v>
      </c>
      <c r="C42" s="1" t="s">
        <v>415</v>
      </c>
      <c r="D42" s="1" t="s">
        <v>420</v>
      </c>
      <c r="E42" s="1" t="s">
        <v>11</v>
      </c>
      <c r="F42" s="1" t="s">
        <v>417</v>
      </c>
      <c r="H42" s="1" t="s">
        <v>413</v>
      </c>
      <c r="L42" s="1" t="s">
        <v>410</v>
      </c>
      <c r="M42" s="1" t="s">
        <v>29</v>
      </c>
      <c r="N42" s="6">
        <v>1</v>
      </c>
      <c r="O42" s="6"/>
      <c r="CM42" s="1">
        <v>26.1</v>
      </c>
    </row>
    <row r="43" spans="1:91" x14ac:dyDescent="0.2">
      <c r="A43" s="1" t="s">
        <v>421</v>
      </c>
      <c r="B43" s="1" t="s">
        <v>405</v>
      </c>
      <c r="C43" s="1" t="s">
        <v>422</v>
      </c>
      <c r="D43" s="1" t="s">
        <v>423</v>
      </c>
      <c r="E43" s="1" t="s">
        <v>7</v>
      </c>
      <c r="F43" s="1" t="s">
        <v>424</v>
      </c>
      <c r="H43" s="1" t="s">
        <v>409</v>
      </c>
      <c r="L43" s="1" t="s">
        <v>410</v>
      </c>
      <c r="M43" s="1" t="s">
        <v>29</v>
      </c>
      <c r="N43" s="6">
        <v>1</v>
      </c>
      <c r="O43" s="6"/>
      <c r="CM43" s="1">
        <v>148</v>
      </c>
    </row>
    <row r="44" spans="1:91" x14ac:dyDescent="0.2">
      <c r="A44" s="1" t="s">
        <v>425</v>
      </c>
      <c r="B44" s="1" t="s">
        <v>405</v>
      </c>
      <c r="C44" s="1" t="s">
        <v>422</v>
      </c>
      <c r="D44" s="1" t="s">
        <v>426</v>
      </c>
      <c r="E44" s="1" t="s">
        <v>11</v>
      </c>
      <c r="F44" s="1" t="s">
        <v>424</v>
      </c>
      <c r="H44" s="1" t="s">
        <v>413</v>
      </c>
      <c r="L44" s="1" t="s">
        <v>410</v>
      </c>
      <c r="M44" s="1" t="s">
        <v>29</v>
      </c>
      <c r="N44" s="6">
        <v>1</v>
      </c>
      <c r="O44" s="6"/>
      <c r="CM44" s="1">
        <v>26</v>
      </c>
    </row>
    <row r="45" spans="1:91" x14ac:dyDescent="0.2">
      <c r="A45" s="1" t="s">
        <v>427</v>
      </c>
      <c r="B45" s="1" t="s">
        <v>405</v>
      </c>
      <c r="C45" s="1" t="s">
        <v>428</v>
      </c>
      <c r="D45" s="1" t="s">
        <v>429</v>
      </c>
      <c r="E45" s="1" t="s">
        <v>7</v>
      </c>
      <c r="F45" s="1" t="s">
        <v>430</v>
      </c>
      <c r="H45" s="1" t="s">
        <v>409</v>
      </c>
      <c r="L45" s="1" t="s">
        <v>410</v>
      </c>
      <c r="M45" s="1" t="s">
        <v>29</v>
      </c>
      <c r="N45" s="6">
        <v>1</v>
      </c>
      <c r="O45" s="6"/>
      <c r="CM45" s="1">
        <v>43.5</v>
      </c>
    </row>
    <row r="46" spans="1:91" x14ac:dyDescent="0.2">
      <c r="A46" s="1" t="s">
        <v>431</v>
      </c>
      <c r="B46" s="1" t="s">
        <v>405</v>
      </c>
      <c r="C46" s="1" t="s">
        <v>428</v>
      </c>
      <c r="D46" s="1" t="s">
        <v>432</v>
      </c>
      <c r="E46" s="1" t="s">
        <v>11</v>
      </c>
      <c r="F46" s="1" t="s">
        <v>430</v>
      </c>
      <c r="H46" s="1" t="s">
        <v>413</v>
      </c>
      <c r="L46" s="1" t="s">
        <v>410</v>
      </c>
      <c r="M46" s="1" t="s">
        <v>29</v>
      </c>
      <c r="N46" s="6">
        <v>1</v>
      </c>
      <c r="O46" s="6"/>
      <c r="CM46" s="1">
        <v>15.8</v>
      </c>
    </row>
    <row r="47" spans="1:91" x14ac:dyDescent="0.2">
      <c r="A47" s="1" t="s">
        <v>433</v>
      </c>
      <c r="B47" s="1" t="s">
        <v>405</v>
      </c>
      <c r="C47" s="1" t="s">
        <v>434</v>
      </c>
      <c r="D47" s="1" t="s">
        <v>435</v>
      </c>
      <c r="E47" s="1" t="s">
        <v>7</v>
      </c>
      <c r="F47" s="1" t="s">
        <v>436</v>
      </c>
      <c r="H47" s="1" t="s">
        <v>409</v>
      </c>
      <c r="L47" s="1" t="s">
        <v>410</v>
      </c>
      <c r="M47" s="1" t="s">
        <v>29</v>
      </c>
      <c r="N47" s="6">
        <v>1</v>
      </c>
      <c r="O47" s="6"/>
      <c r="CM47" s="1">
        <v>52</v>
      </c>
    </row>
    <row r="48" spans="1:91" x14ac:dyDescent="0.2">
      <c r="A48" s="1" t="s">
        <v>437</v>
      </c>
      <c r="B48" s="1" t="s">
        <v>405</v>
      </c>
      <c r="C48" s="1" t="s">
        <v>434</v>
      </c>
      <c r="D48" s="1" t="s">
        <v>438</v>
      </c>
      <c r="E48" s="1" t="s">
        <v>11</v>
      </c>
      <c r="F48" s="1" t="s">
        <v>436</v>
      </c>
      <c r="H48" s="1" t="s">
        <v>413</v>
      </c>
      <c r="L48" s="1" t="s">
        <v>410</v>
      </c>
      <c r="M48" s="1" t="s">
        <v>29</v>
      </c>
      <c r="N48" s="6">
        <v>1</v>
      </c>
      <c r="O48" s="6"/>
      <c r="CM48" s="1">
        <v>25.8</v>
      </c>
    </row>
    <row r="49" spans="1:91" x14ac:dyDescent="0.2">
      <c r="A49" s="1" t="s">
        <v>439</v>
      </c>
      <c r="B49" s="1" t="s">
        <v>405</v>
      </c>
      <c r="C49" s="1" t="s">
        <v>440</v>
      </c>
      <c r="D49" s="1" t="s">
        <v>441</v>
      </c>
      <c r="E49" s="1" t="s">
        <v>7</v>
      </c>
      <c r="F49" s="1" t="s">
        <v>442</v>
      </c>
      <c r="H49" s="1" t="s">
        <v>409</v>
      </c>
      <c r="L49" s="1" t="s">
        <v>410</v>
      </c>
      <c r="M49" s="1" t="s">
        <v>29</v>
      </c>
      <c r="N49" s="6">
        <v>1</v>
      </c>
      <c r="O49" s="6"/>
      <c r="CM49" s="1">
        <v>52</v>
      </c>
    </row>
    <row r="50" spans="1:91" x14ac:dyDescent="0.2">
      <c r="A50" s="1" t="s">
        <v>443</v>
      </c>
      <c r="B50" s="1" t="s">
        <v>405</v>
      </c>
      <c r="C50" s="1" t="s">
        <v>440</v>
      </c>
      <c r="D50" s="1" t="s">
        <v>444</v>
      </c>
      <c r="E50" s="1" t="s">
        <v>11</v>
      </c>
      <c r="F50" s="1" t="s">
        <v>442</v>
      </c>
      <c r="H50" s="1" t="s">
        <v>413</v>
      </c>
      <c r="L50" s="1" t="s">
        <v>410</v>
      </c>
      <c r="M50" s="1" t="s">
        <v>29</v>
      </c>
      <c r="N50" s="6">
        <v>1</v>
      </c>
      <c r="O50" s="6"/>
      <c r="CM50" s="1">
        <v>27.3</v>
      </c>
    </row>
    <row r="51" spans="1:91" x14ac:dyDescent="0.2">
      <c r="A51" s="1" t="s">
        <v>445</v>
      </c>
      <c r="B51" s="1" t="s">
        <v>446</v>
      </c>
      <c r="D51" s="1" t="s">
        <v>447</v>
      </c>
      <c r="E51" s="1" t="s">
        <v>9</v>
      </c>
      <c r="F51" s="1" t="s">
        <v>448</v>
      </c>
      <c r="H51" s="1" t="s">
        <v>449</v>
      </c>
      <c r="L51" s="1" t="s">
        <v>450</v>
      </c>
      <c r="M51" s="1" t="s">
        <v>29</v>
      </c>
      <c r="N51" s="6">
        <v>1</v>
      </c>
      <c r="O51" s="6"/>
      <c r="BQ51" s="1">
        <v>160</v>
      </c>
    </row>
    <row r="52" spans="1:91" x14ac:dyDescent="0.2">
      <c r="A52" s="1" t="s">
        <v>451</v>
      </c>
      <c r="B52" s="1" t="s">
        <v>446</v>
      </c>
      <c r="D52" s="1" t="s">
        <v>452</v>
      </c>
      <c r="E52" s="1" t="s">
        <v>11</v>
      </c>
      <c r="F52" s="1" t="s">
        <v>448</v>
      </c>
      <c r="H52" s="1" t="s">
        <v>453</v>
      </c>
      <c r="L52" s="1" t="s">
        <v>450</v>
      </c>
      <c r="M52" s="1" t="s">
        <v>29</v>
      </c>
      <c r="N52" s="6">
        <v>1</v>
      </c>
      <c r="O52" s="6"/>
      <c r="BQ52" s="1">
        <v>90</v>
      </c>
    </row>
    <row r="53" spans="1:91" x14ac:dyDescent="0.2">
      <c r="A53" s="1" t="s">
        <v>454</v>
      </c>
      <c r="B53" s="1" t="s">
        <v>446</v>
      </c>
      <c r="D53" s="1" t="s">
        <v>455</v>
      </c>
      <c r="E53" s="1" t="s">
        <v>11</v>
      </c>
      <c r="F53" s="1" t="s">
        <v>456</v>
      </c>
      <c r="H53" s="1" t="s">
        <v>449</v>
      </c>
      <c r="L53" s="1" t="s">
        <v>450</v>
      </c>
      <c r="M53" s="1" t="s">
        <v>29</v>
      </c>
      <c r="N53" s="6">
        <v>1</v>
      </c>
      <c r="O53" s="6"/>
      <c r="BQ53" s="1">
        <v>136</v>
      </c>
    </row>
    <row r="54" spans="1:91" x14ac:dyDescent="0.2">
      <c r="A54" s="1" t="s">
        <v>457</v>
      </c>
      <c r="B54" s="1" t="s">
        <v>446</v>
      </c>
      <c r="D54" s="1" t="s">
        <v>458</v>
      </c>
      <c r="E54" s="1" t="s">
        <v>11</v>
      </c>
      <c r="F54" s="1" t="s">
        <v>456</v>
      </c>
      <c r="H54" s="1" t="s">
        <v>459</v>
      </c>
      <c r="L54" s="1" t="s">
        <v>450</v>
      </c>
      <c r="M54" s="1" t="s">
        <v>29</v>
      </c>
      <c r="N54" s="6">
        <v>1</v>
      </c>
      <c r="O54" s="6"/>
      <c r="BQ54" s="1">
        <v>910</v>
      </c>
    </row>
    <row r="55" spans="1:91" x14ac:dyDescent="0.2">
      <c r="A55" s="1" t="s">
        <v>460</v>
      </c>
      <c r="B55" s="1" t="s">
        <v>446</v>
      </c>
      <c r="D55" s="1" t="s">
        <v>461</v>
      </c>
      <c r="E55" s="1" t="s">
        <v>9</v>
      </c>
      <c r="F55" s="1" t="s">
        <v>462</v>
      </c>
      <c r="H55" s="1" t="s">
        <v>449</v>
      </c>
      <c r="L55" s="1" t="s">
        <v>450</v>
      </c>
      <c r="M55" s="1" t="s">
        <v>29</v>
      </c>
      <c r="N55" s="6">
        <v>1</v>
      </c>
      <c r="O55" s="6"/>
      <c r="BQ55" s="1">
        <v>30</v>
      </c>
    </row>
    <row r="56" spans="1:91" x14ac:dyDescent="0.2">
      <c r="A56" s="1" t="s">
        <v>463</v>
      </c>
      <c r="B56" s="1" t="s">
        <v>446</v>
      </c>
      <c r="D56" s="1" t="s">
        <v>464</v>
      </c>
      <c r="E56" s="1" t="s">
        <v>11</v>
      </c>
      <c r="F56" s="1" t="s">
        <v>462</v>
      </c>
      <c r="H56" s="1" t="s">
        <v>453</v>
      </c>
      <c r="L56" s="1" t="s">
        <v>450</v>
      </c>
      <c r="M56" s="1" t="s">
        <v>29</v>
      </c>
      <c r="N56" s="6">
        <v>1</v>
      </c>
      <c r="O56" s="6"/>
      <c r="BQ56" s="1">
        <v>20</v>
      </c>
    </row>
    <row r="57" spans="1:91" x14ac:dyDescent="0.2">
      <c r="A57" s="1" t="s">
        <v>465</v>
      </c>
      <c r="B57" s="1" t="s">
        <v>446</v>
      </c>
      <c r="C57" s="1" t="s">
        <v>466</v>
      </c>
      <c r="D57" s="1" t="s">
        <v>467</v>
      </c>
      <c r="E57" s="1" t="s">
        <v>9</v>
      </c>
      <c r="F57" s="1" t="s">
        <v>468</v>
      </c>
      <c r="H57" s="1" t="s">
        <v>449</v>
      </c>
      <c r="L57" s="1" t="s">
        <v>450</v>
      </c>
      <c r="M57" s="1" t="s">
        <v>29</v>
      </c>
      <c r="N57" s="6">
        <v>1</v>
      </c>
      <c r="O57" s="6"/>
      <c r="BQ57" s="1">
        <v>100</v>
      </c>
    </row>
    <row r="58" spans="1:91" x14ac:dyDescent="0.2">
      <c r="A58" s="1" t="s">
        <v>469</v>
      </c>
      <c r="B58" s="1" t="s">
        <v>446</v>
      </c>
      <c r="C58" s="1" t="s">
        <v>466</v>
      </c>
      <c r="D58" s="1" t="s">
        <v>470</v>
      </c>
      <c r="E58" s="1" t="s">
        <v>11</v>
      </c>
      <c r="F58" s="1" t="s">
        <v>468</v>
      </c>
      <c r="H58" s="1" t="s">
        <v>453</v>
      </c>
      <c r="L58" s="1" t="s">
        <v>450</v>
      </c>
      <c r="M58" s="1" t="s">
        <v>29</v>
      </c>
      <c r="N58" s="6">
        <v>1</v>
      </c>
      <c r="O58" s="6"/>
      <c r="BQ58" s="1">
        <v>50</v>
      </c>
    </row>
    <row r="59" spans="1:91" x14ac:dyDescent="0.2">
      <c r="A59" s="1" t="s">
        <v>471</v>
      </c>
      <c r="B59" s="1" t="s">
        <v>446</v>
      </c>
      <c r="D59" s="1" t="s">
        <v>472</v>
      </c>
      <c r="E59" s="1" t="s">
        <v>9</v>
      </c>
      <c r="F59" s="1" t="s">
        <v>473</v>
      </c>
      <c r="H59" s="1" t="s">
        <v>449</v>
      </c>
      <c r="L59" s="1" t="s">
        <v>450</v>
      </c>
      <c r="M59" s="1" t="s">
        <v>29</v>
      </c>
      <c r="N59" s="6">
        <v>1</v>
      </c>
      <c r="O59" s="6"/>
      <c r="BQ59" s="1">
        <v>3330</v>
      </c>
    </row>
    <row r="60" spans="1:91" x14ac:dyDescent="0.2">
      <c r="A60" s="1" t="s">
        <v>474</v>
      </c>
      <c r="B60" s="1" t="s">
        <v>446</v>
      </c>
      <c r="D60" s="1" t="s">
        <v>475</v>
      </c>
      <c r="E60" s="1" t="s">
        <v>11</v>
      </c>
      <c r="F60" s="1" t="s">
        <v>473</v>
      </c>
      <c r="H60" s="1" t="s">
        <v>453</v>
      </c>
      <c r="L60" s="1" t="s">
        <v>450</v>
      </c>
      <c r="M60" s="1" t="s">
        <v>29</v>
      </c>
      <c r="N60" s="6">
        <v>1</v>
      </c>
      <c r="O60" s="6"/>
      <c r="BQ60" s="1">
        <v>2500</v>
      </c>
    </row>
    <row r="61" spans="1:91" x14ac:dyDescent="0.2">
      <c r="A61" s="1" t="s">
        <v>476</v>
      </c>
      <c r="B61" s="1" t="s">
        <v>477</v>
      </c>
      <c r="C61" s="1" t="s">
        <v>478</v>
      </c>
      <c r="D61" s="1" t="s">
        <v>479</v>
      </c>
      <c r="E61" s="1" t="s">
        <v>7</v>
      </c>
      <c r="F61" s="1" t="s">
        <v>480</v>
      </c>
      <c r="G61" s="1" t="s">
        <v>481</v>
      </c>
      <c r="L61" s="1" t="s">
        <v>482</v>
      </c>
      <c r="M61" s="1" t="s">
        <v>29</v>
      </c>
      <c r="N61" s="6">
        <v>1</v>
      </c>
      <c r="O61" s="6"/>
      <c r="BV61" s="1" t="s">
        <v>483</v>
      </c>
    </row>
    <row r="62" spans="1:91" x14ac:dyDescent="0.2">
      <c r="A62" s="1" t="s">
        <v>484</v>
      </c>
      <c r="B62" s="1" t="s">
        <v>477</v>
      </c>
      <c r="C62" s="1" t="s">
        <v>485</v>
      </c>
      <c r="D62" s="1" t="s">
        <v>486</v>
      </c>
      <c r="E62" s="1" t="s">
        <v>7</v>
      </c>
      <c r="F62" s="1" t="s">
        <v>487</v>
      </c>
      <c r="G62" s="1" t="s">
        <v>481</v>
      </c>
      <c r="L62" s="1" t="s">
        <v>482</v>
      </c>
      <c r="M62" s="1" t="s">
        <v>29</v>
      </c>
      <c r="N62" s="6">
        <v>1</v>
      </c>
      <c r="O62" s="6"/>
      <c r="BV62" s="1" t="s">
        <v>488</v>
      </c>
    </row>
    <row r="63" spans="1:91" x14ac:dyDescent="0.2">
      <c r="A63" s="1" t="s">
        <v>489</v>
      </c>
      <c r="B63" s="1" t="s">
        <v>477</v>
      </c>
      <c r="C63" s="1" t="s">
        <v>485</v>
      </c>
      <c r="D63" s="1" t="s">
        <v>486</v>
      </c>
      <c r="E63" s="1" t="s">
        <v>7</v>
      </c>
      <c r="F63" s="1" t="s">
        <v>487</v>
      </c>
      <c r="G63" s="1" t="s">
        <v>481</v>
      </c>
      <c r="L63" s="1" t="s">
        <v>482</v>
      </c>
      <c r="M63" s="1" t="s">
        <v>29</v>
      </c>
      <c r="N63" s="6">
        <v>1</v>
      </c>
      <c r="O63" s="6"/>
      <c r="BV63" s="1" t="s">
        <v>490</v>
      </c>
    </row>
    <row r="64" spans="1:91" x14ac:dyDescent="0.2">
      <c r="A64" s="1" t="s">
        <v>491</v>
      </c>
      <c r="B64" s="1" t="s">
        <v>477</v>
      </c>
      <c r="C64" s="1" t="s">
        <v>485</v>
      </c>
      <c r="D64" s="1" t="s">
        <v>492</v>
      </c>
      <c r="E64" s="1" t="s">
        <v>11</v>
      </c>
      <c r="F64" s="1" t="s">
        <v>487</v>
      </c>
      <c r="G64" s="1" t="s">
        <v>481</v>
      </c>
      <c r="H64" s="1" t="s">
        <v>493</v>
      </c>
      <c r="L64" s="1" t="s">
        <v>482</v>
      </c>
      <c r="M64" s="1" t="s">
        <v>29</v>
      </c>
      <c r="N64" s="6">
        <v>1</v>
      </c>
      <c r="O64" s="6"/>
      <c r="BV64" s="1" t="s">
        <v>494</v>
      </c>
    </row>
    <row r="65" spans="1:74" x14ac:dyDescent="0.2">
      <c r="A65" s="1" t="s">
        <v>495</v>
      </c>
      <c r="B65" s="1" t="s">
        <v>477</v>
      </c>
      <c r="C65" s="1" t="s">
        <v>485</v>
      </c>
      <c r="D65" s="1" t="s">
        <v>486</v>
      </c>
      <c r="E65" s="1" t="s">
        <v>7</v>
      </c>
      <c r="F65" s="1" t="s">
        <v>487</v>
      </c>
      <c r="G65" s="1" t="s">
        <v>481</v>
      </c>
      <c r="L65" s="1" t="s">
        <v>482</v>
      </c>
      <c r="M65" s="1" t="s">
        <v>29</v>
      </c>
      <c r="N65" s="6">
        <v>1</v>
      </c>
      <c r="O65" s="6"/>
      <c r="BV65" s="1" t="s">
        <v>496</v>
      </c>
    </row>
    <row r="66" spans="1:74" x14ac:dyDescent="0.2">
      <c r="A66" s="1" t="s">
        <v>497</v>
      </c>
      <c r="B66" s="1" t="s">
        <v>477</v>
      </c>
      <c r="C66" s="1" t="s">
        <v>485</v>
      </c>
      <c r="D66" s="1" t="s">
        <v>492</v>
      </c>
      <c r="E66" s="1" t="s">
        <v>11</v>
      </c>
      <c r="F66" s="1" t="s">
        <v>487</v>
      </c>
      <c r="G66" s="1" t="s">
        <v>481</v>
      </c>
      <c r="H66" s="1" t="s">
        <v>498</v>
      </c>
      <c r="L66" s="1" t="s">
        <v>482</v>
      </c>
      <c r="M66" s="1" t="s">
        <v>29</v>
      </c>
      <c r="N66" s="6">
        <v>1</v>
      </c>
      <c r="O66" s="6"/>
      <c r="BV66" s="1" t="s">
        <v>499</v>
      </c>
    </row>
    <row r="67" spans="1:74" x14ac:dyDescent="0.2">
      <c r="A67" s="1" t="s">
        <v>500</v>
      </c>
      <c r="B67" s="1" t="s">
        <v>477</v>
      </c>
      <c r="C67" s="1" t="s">
        <v>501</v>
      </c>
      <c r="D67" s="1" t="s">
        <v>502</v>
      </c>
      <c r="E67" s="1" t="s">
        <v>7</v>
      </c>
      <c r="F67" s="1" t="s">
        <v>503</v>
      </c>
      <c r="G67" s="1" t="s">
        <v>481</v>
      </c>
      <c r="L67" s="1" t="s">
        <v>482</v>
      </c>
      <c r="M67" s="1" t="s">
        <v>29</v>
      </c>
      <c r="N67" s="6">
        <v>1</v>
      </c>
      <c r="O67" s="6"/>
      <c r="BV67" s="1" t="s">
        <v>504</v>
      </c>
    </row>
    <row r="68" spans="1:74" x14ac:dyDescent="0.2">
      <c r="A68" s="1" t="s">
        <v>505</v>
      </c>
      <c r="B68" s="1" t="s">
        <v>477</v>
      </c>
      <c r="C68" s="1" t="s">
        <v>501</v>
      </c>
      <c r="D68" s="1" t="s">
        <v>502</v>
      </c>
      <c r="E68" s="1" t="s">
        <v>7</v>
      </c>
      <c r="F68" s="1" t="s">
        <v>503</v>
      </c>
      <c r="G68" s="1" t="s">
        <v>481</v>
      </c>
      <c r="L68" s="1" t="s">
        <v>482</v>
      </c>
      <c r="M68" s="1" t="s">
        <v>29</v>
      </c>
      <c r="N68" s="6">
        <v>1</v>
      </c>
      <c r="O68" s="6"/>
      <c r="BV68" s="1" t="s">
        <v>506</v>
      </c>
    </row>
    <row r="69" spans="1:74" x14ac:dyDescent="0.2">
      <c r="A69" s="1" t="s">
        <v>507</v>
      </c>
      <c r="B69" s="1" t="s">
        <v>477</v>
      </c>
      <c r="C69" s="1" t="s">
        <v>501</v>
      </c>
      <c r="D69" s="1" t="s">
        <v>508</v>
      </c>
      <c r="E69" s="1" t="s">
        <v>11</v>
      </c>
      <c r="F69" s="1" t="s">
        <v>503</v>
      </c>
      <c r="G69" s="1" t="s">
        <v>481</v>
      </c>
      <c r="H69" s="1" t="s">
        <v>493</v>
      </c>
      <c r="L69" s="1" t="s">
        <v>482</v>
      </c>
      <c r="M69" s="1" t="s">
        <v>29</v>
      </c>
      <c r="N69" s="6">
        <v>1</v>
      </c>
      <c r="O69" s="6"/>
      <c r="BV69" s="1" t="s">
        <v>509</v>
      </c>
    </row>
    <row r="70" spans="1:74" x14ac:dyDescent="0.2">
      <c r="A70" s="1" t="s">
        <v>510</v>
      </c>
      <c r="B70" s="1" t="s">
        <v>477</v>
      </c>
      <c r="C70" s="1" t="s">
        <v>501</v>
      </c>
      <c r="D70" s="1" t="s">
        <v>502</v>
      </c>
      <c r="E70" s="1" t="s">
        <v>7</v>
      </c>
      <c r="F70" s="1" t="s">
        <v>503</v>
      </c>
      <c r="G70" s="1" t="s">
        <v>481</v>
      </c>
      <c r="L70" s="1" t="s">
        <v>482</v>
      </c>
      <c r="M70" s="1" t="s">
        <v>29</v>
      </c>
      <c r="N70" s="6">
        <v>1</v>
      </c>
      <c r="O70" s="6"/>
      <c r="BV70" s="1" t="s">
        <v>511</v>
      </c>
    </row>
    <row r="71" spans="1:74" x14ac:dyDescent="0.2">
      <c r="A71" s="1" t="s">
        <v>512</v>
      </c>
      <c r="B71" s="1" t="s">
        <v>477</v>
      </c>
      <c r="C71" s="1" t="s">
        <v>501</v>
      </c>
      <c r="D71" s="1" t="s">
        <v>508</v>
      </c>
      <c r="E71" s="1" t="s">
        <v>11</v>
      </c>
      <c r="F71" s="1" t="s">
        <v>503</v>
      </c>
      <c r="G71" s="1" t="s">
        <v>481</v>
      </c>
      <c r="H71" s="1" t="s">
        <v>498</v>
      </c>
      <c r="L71" s="1" t="s">
        <v>482</v>
      </c>
      <c r="M71" s="1" t="s">
        <v>29</v>
      </c>
      <c r="N71" s="6">
        <v>1</v>
      </c>
      <c r="O71" s="6"/>
      <c r="BV71" s="1" t="s">
        <v>513</v>
      </c>
    </row>
    <row r="72" spans="1:74" x14ac:dyDescent="0.2">
      <c r="A72" s="1" t="s">
        <v>514</v>
      </c>
      <c r="B72" s="1" t="s">
        <v>477</v>
      </c>
      <c r="C72" s="1" t="s">
        <v>515</v>
      </c>
      <c r="D72" s="1" t="s">
        <v>516</v>
      </c>
      <c r="E72" s="1" t="s">
        <v>7</v>
      </c>
      <c r="F72" s="1" t="s">
        <v>473</v>
      </c>
      <c r="G72" s="1" t="s">
        <v>481</v>
      </c>
      <c r="L72" s="1" t="s">
        <v>482</v>
      </c>
      <c r="M72" s="1" t="s">
        <v>29</v>
      </c>
      <c r="N72" s="6">
        <v>1</v>
      </c>
      <c r="O72" s="6"/>
      <c r="BV72" s="1" t="s">
        <v>517</v>
      </c>
    </row>
    <row r="73" spans="1:74" x14ac:dyDescent="0.2">
      <c r="A73" s="1" t="s">
        <v>518</v>
      </c>
      <c r="B73" s="1" t="s">
        <v>477</v>
      </c>
      <c r="C73" s="1" t="s">
        <v>515</v>
      </c>
      <c r="D73" s="1" t="s">
        <v>516</v>
      </c>
      <c r="E73" s="1" t="s">
        <v>7</v>
      </c>
      <c r="F73" s="1" t="s">
        <v>473</v>
      </c>
      <c r="G73" s="1" t="s">
        <v>481</v>
      </c>
      <c r="L73" s="1" t="s">
        <v>482</v>
      </c>
      <c r="M73" s="1" t="s">
        <v>29</v>
      </c>
      <c r="N73" s="6">
        <v>1</v>
      </c>
      <c r="O73" s="6"/>
      <c r="BV73" s="1" t="s">
        <v>519</v>
      </c>
    </row>
    <row r="74" spans="1:74" x14ac:dyDescent="0.2">
      <c r="A74" s="1" t="s">
        <v>520</v>
      </c>
      <c r="B74" s="1" t="s">
        <v>477</v>
      </c>
      <c r="C74" s="1" t="s">
        <v>515</v>
      </c>
      <c r="D74" s="1" t="s">
        <v>475</v>
      </c>
      <c r="E74" s="1" t="s">
        <v>11</v>
      </c>
      <c r="F74" s="1" t="s">
        <v>473</v>
      </c>
      <c r="G74" s="1" t="s">
        <v>481</v>
      </c>
      <c r="H74" s="1" t="s">
        <v>493</v>
      </c>
      <c r="L74" s="1" t="s">
        <v>482</v>
      </c>
      <c r="M74" s="1" t="s">
        <v>29</v>
      </c>
      <c r="N74" s="6">
        <v>1</v>
      </c>
      <c r="O74" s="6"/>
      <c r="BV74" s="1" t="s">
        <v>521</v>
      </c>
    </row>
    <row r="75" spans="1:74" x14ac:dyDescent="0.2">
      <c r="A75" s="1" t="s">
        <v>522</v>
      </c>
      <c r="B75" s="1" t="s">
        <v>477</v>
      </c>
      <c r="C75" s="1" t="s">
        <v>515</v>
      </c>
      <c r="D75" s="1" t="s">
        <v>516</v>
      </c>
      <c r="E75" s="1" t="s">
        <v>7</v>
      </c>
      <c r="F75" s="1" t="s">
        <v>473</v>
      </c>
      <c r="G75" s="1" t="s">
        <v>481</v>
      </c>
      <c r="L75" s="1" t="s">
        <v>482</v>
      </c>
      <c r="M75" s="1" t="s">
        <v>29</v>
      </c>
      <c r="N75" s="6">
        <v>1</v>
      </c>
      <c r="O75" s="6"/>
      <c r="BV75" s="1" t="s">
        <v>523</v>
      </c>
    </row>
    <row r="76" spans="1:74" x14ac:dyDescent="0.2">
      <c r="A76" s="1" t="s">
        <v>524</v>
      </c>
      <c r="B76" s="1" t="s">
        <v>477</v>
      </c>
      <c r="C76" s="1" t="s">
        <v>515</v>
      </c>
      <c r="D76" s="1" t="s">
        <v>475</v>
      </c>
      <c r="E76" s="1" t="s">
        <v>11</v>
      </c>
      <c r="F76" s="1" t="s">
        <v>473</v>
      </c>
      <c r="G76" s="1" t="s">
        <v>481</v>
      </c>
      <c r="H76" s="1" t="s">
        <v>498</v>
      </c>
      <c r="L76" s="1" t="s">
        <v>482</v>
      </c>
      <c r="M76" s="1" t="s">
        <v>29</v>
      </c>
      <c r="N76" s="6">
        <v>1</v>
      </c>
      <c r="O76" s="6"/>
      <c r="BV76" s="1" t="s">
        <v>525</v>
      </c>
    </row>
    <row r="77" spans="1:74" x14ac:dyDescent="0.2">
      <c r="A77" s="1" t="s">
        <v>526</v>
      </c>
      <c r="B77" s="1" t="s">
        <v>477</v>
      </c>
      <c r="C77" s="1" t="s">
        <v>527</v>
      </c>
      <c r="D77" s="1" t="s">
        <v>528</v>
      </c>
      <c r="E77" s="1" t="s">
        <v>7</v>
      </c>
      <c r="F77" s="1" t="s">
        <v>529</v>
      </c>
      <c r="G77" s="1" t="s">
        <v>481</v>
      </c>
      <c r="L77" s="1" t="s">
        <v>482</v>
      </c>
      <c r="M77" s="1" t="s">
        <v>29</v>
      </c>
      <c r="N77" s="6">
        <v>1</v>
      </c>
      <c r="O77" s="6"/>
      <c r="BV77" s="1" t="s">
        <v>530</v>
      </c>
    </row>
    <row r="78" spans="1:74" x14ac:dyDescent="0.2">
      <c r="A78" s="1" t="s">
        <v>531</v>
      </c>
      <c r="B78" s="1" t="s">
        <v>477</v>
      </c>
      <c r="C78" s="1" t="s">
        <v>527</v>
      </c>
      <c r="D78" s="1" t="s">
        <v>528</v>
      </c>
      <c r="E78" s="1" t="s">
        <v>7</v>
      </c>
      <c r="F78" s="1" t="s">
        <v>529</v>
      </c>
      <c r="G78" s="1" t="s">
        <v>481</v>
      </c>
      <c r="L78" s="1" t="s">
        <v>482</v>
      </c>
      <c r="M78" s="1" t="s">
        <v>29</v>
      </c>
      <c r="N78" s="6">
        <v>1</v>
      </c>
      <c r="O78" s="6"/>
      <c r="BV78" s="1" t="s">
        <v>532</v>
      </c>
    </row>
    <row r="79" spans="1:74" x14ac:dyDescent="0.2">
      <c r="A79" s="1" t="s">
        <v>533</v>
      </c>
      <c r="B79" s="1" t="s">
        <v>477</v>
      </c>
      <c r="C79" s="1" t="s">
        <v>527</v>
      </c>
      <c r="D79" s="1" t="s">
        <v>534</v>
      </c>
      <c r="E79" s="1" t="s">
        <v>11</v>
      </c>
      <c r="F79" s="1" t="s">
        <v>529</v>
      </c>
      <c r="G79" s="1" t="s">
        <v>481</v>
      </c>
      <c r="H79" s="1" t="s">
        <v>498</v>
      </c>
      <c r="L79" s="1" t="s">
        <v>482</v>
      </c>
      <c r="M79" s="1" t="s">
        <v>29</v>
      </c>
      <c r="N79" s="6">
        <v>1</v>
      </c>
      <c r="O79" s="6"/>
      <c r="BV79" s="1" t="s">
        <v>535</v>
      </c>
    </row>
    <row r="80" spans="1:74" x14ac:dyDescent="0.2">
      <c r="A80" s="1" t="s">
        <v>536</v>
      </c>
      <c r="B80" s="1" t="s">
        <v>477</v>
      </c>
      <c r="C80" s="1" t="s">
        <v>537</v>
      </c>
      <c r="D80" s="1" t="s">
        <v>538</v>
      </c>
      <c r="E80" s="1" t="s">
        <v>7</v>
      </c>
      <c r="F80" s="1" t="s">
        <v>539</v>
      </c>
      <c r="G80" s="1" t="s">
        <v>481</v>
      </c>
      <c r="L80" s="1" t="s">
        <v>482</v>
      </c>
      <c r="M80" s="1" t="s">
        <v>29</v>
      </c>
      <c r="N80" s="6">
        <v>1</v>
      </c>
      <c r="O80" s="6"/>
      <c r="BV80" s="1" t="s">
        <v>488</v>
      </c>
    </row>
    <row r="81" spans="1:74" x14ac:dyDescent="0.2">
      <c r="A81" s="1" t="s">
        <v>540</v>
      </c>
      <c r="B81" s="1" t="s">
        <v>477</v>
      </c>
      <c r="C81" s="1" t="s">
        <v>541</v>
      </c>
      <c r="D81" s="1" t="s">
        <v>542</v>
      </c>
      <c r="E81" s="1" t="s">
        <v>7</v>
      </c>
      <c r="F81" s="1" t="s">
        <v>543</v>
      </c>
      <c r="G81" s="1" t="s">
        <v>481</v>
      </c>
      <c r="L81" s="1" t="s">
        <v>482</v>
      </c>
      <c r="M81" s="1" t="s">
        <v>29</v>
      </c>
      <c r="N81" s="6">
        <v>1</v>
      </c>
      <c r="O81" s="6"/>
      <c r="BV81" s="1" t="s">
        <v>544</v>
      </c>
    </row>
    <row r="82" spans="1:74" x14ac:dyDescent="0.2">
      <c r="A82" s="1" t="s">
        <v>545</v>
      </c>
      <c r="B82" s="1" t="s">
        <v>477</v>
      </c>
      <c r="C82" s="1" t="s">
        <v>546</v>
      </c>
      <c r="D82" s="1" t="s">
        <v>547</v>
      </c>
      <c r="E82" s="1" t="s">
        <v>7</v>
      </c>
      <c r="F82" s="1" t="s">
        <v>548</v>
      </c>
      <c r="G82" s="1" t="s">
        <v>481</v>
      </c>
      <c r="L82" s="1" t="s">
        <v>482</v>
      </c>
      <c r="M82" s="1" t="s">
        <v>29</v>
      </c>
      <c r="N82" s="6">
        <v>1</v>
      </c>
      <c r="O82" s="6"/>
      <c r="BV82" s="1" t="s">
        <v>549</v>
      </c>
    </row>
    <row r="83" spans="1:74" x14ac:dyDescent="0.2">
      <c r="A83" s="1" t="s">
        <v>550</v>
      </c>
      <c r="B83" s="1" t="s">
        <v>477</v>
      </c>
      <c r="C83" s="1" t="s">
        <v>551</v>
      </c>
      <c r="D83" s="1" t="s">
        <v>552</v>
      </c>
      <c r="E83" s="1" t="s">
        <v>7</v>
      </c>
      <c r="F83" s="1" t="s">
        <v>553</v>
      </c>
      <c r="G83" s="1" t="s">
        <v>481</v>
      </c>
      <c r="L83" s="1" t="s">
        <v>482</v>
      </c>
      <c r="M83" s="1" t="s">
        <v>29</v>
      </c>
      <c r="N83" s="6">
        <v>1</v>
      </c>
      <c r="O83" s="6"/>
      <c r="BV83" s="1" t="s">
        <v>554</v>
      </c>
    </row>
    <row r="84" spans="1:74" x14ac:dyDescent="0.2">
      <c r="A84" s="1" t="s">
        <v>555</v>
      </c>
      <c r="B84" s="1" t="s">
        <v>477</v>
      </c>
      <c r="C84" s="1" t="s">
        <v>556</v>
      </c>
      <c r="D84" s="1" t="s">
        <v>557</v>
      </c>
      <c r="E84" s="1" t="s">
        <v>7</v>
      </c>
      <c r="F84" s="1" t="s">
        <v>558</v>
      </c>
      <c r="G84" s="1" t="s">
        <v>481</v>
      </c>
      <c r="L84" s="1" t="s">
        <v>482</v>
      </c>
      <c r="M84" s="1" t="s">
        <v>29</v>
      </c>
      <c r="N84" s="6">
        <v>1</v>
      </c>
      <c r="O84" s="6"/>
      <c r="BV84" s="1" t="s">
        <v>559</v>
      </c>
    </row>
    <row r="85" spans="1:74" x14ac:dyDescent="0.2">
      <c r="A85" s="1" t="s">
        <v>560</v>
      </c>
      <c r="B85" s="1" t="s">
        <v>477</v>
      </c>
      <c r="C85" s="1" t="s">
        <v>561</v>
      </c>
      <c r="D85" s="1" t="s">
        <v>557</v>
      </c>
      <c r="E85" s="1" t="s">
        <v>7</v>
      </c>
      <c r="F85" s="1" t="s">
        <v>558</v>
      </c>
      <c r="G85" s="1" t="s">
        <v>481</v>
      </c>
      <c r="L85" s="1" t="s">
        <v>482</v>
      </c>
      <c r="M85" s="1" t="s">
        <v>29</v>
      </c>
      <c r="N85" s="6">
        <v>1</v>
      </c>
      <c r="O85" s="6"/>
      <c r="BV85" s="1" t="s">
        <v>562</v>
      </c>
    </row>
    <row r="86" spans="1:74" x14ac:dyDescent="0.2">
      <c r="A86" s="1" t="s">
        <v>563</v>
      </c>
      <c r="B86" s="1" t="s">
        <v>564</v>
      </c>
      <c r="D86" s="1" t="s">
        <v>475</v>
      </c>
      <c r="E86" s="1" t="s">
        <v>11</v>
      </c>
      <c r="F86" s="1" t="s">
        <v>473</v>
      </c>
      <c r="H86" s="1" t="s">
        <v>565</v>
      </c>
      <c r="L86" s="1" t="s">
        <v>566</v>
      </c>
      <c r="M86" s="1" t="s">
        <v>29</v>
      </c>
      <c r="N86" s="6">
        <v>1</v>
      </c>
      <c r="O86" s="6"/>
      <c r="BC86" s="1">
        <v>7.77</v>
      </c>
    </row>
    <row r="87" spans="1:74" x14ac:dyDescent="0.2">
      <c r="A87" s="1" t="s">
        <v>567</v>
      </c>
      <c r="B87" s="1" t="s">
        <v>564</v>
      </c>
      <c r="D87" s="1" t="s">
        <v>475</v>
      </c>
      <c r="E87" s="1" t="s">
        <v>11</v>
      </c>
      <c r="F87" s="1" t="s">
        <v>473</v>
      </c>
      <c r="H87" s="1" t="s">
        <v>568</v>
      </c>
      <c r="L87" s="1" t="s">
        <v>566</v>
      </c>
      <c r="M87" s="1" t="s">
        <v>29</v>
      </c>
      <c r="N87" s="6">
        <v>1</v>
      </c>
      <c r="O87" s="6"/>
      <c r="BC87" s="1">
        <v>35.520000000000003</v>
      </c>
    </row>
    <row r="88" spans="1:74" x14ac:dyDescent="0.2">
      <c r="A88" s="1" t="s">
        <v>569</v>
      </c>
      <c r="B88" s="1" t="s">
        <v>564</v>
      </c>
      <c r="D88" s="1" t="s">
        <v>464</v>
      </c>
      <c r="E88" s="1" t="s">
        <v>11</v>
      </c>
      <c r="F88" s="1" t="s">
        <v>462</v>
      </c>
      <c r="H88" s="1" t="s">
        <v>565</v>
      </c>
      <c r="L88" s="1" t="s">
        <v>566</v>
      </c>
      <c r="M88" s="1" t="s">
        <v>29</v>
      </c>
      <c r="N88" s="6">
        <v>1</v>
      </c>
      <c r="O88" s="6"/>
      <c r="BC88" s="1">
        <v>3.47</v>
      </c>
    </row>
    <row r="89" spans="1:74" x14ac:dyDescent="0.2">
      <c r="A89" s="1" t="s">
        <v>570</v>
      </c>
      <c r="B89" s="1" t="s">
        <v>564</v>
      </c>
      <c r="D89" s="1" t="s">
        <v>464</v>
      </c>
      <c r="E89" s="1" t="s">
        <v>11</v>
      </c>
      <c r="F89" s="1" t="s">
        <v>462</v>
      </c>
      <c r="H89" s="1" t="s">
        <v>568</v>
      </c>
      <c r="L89" s="1" t="s">
        <v>566</v>
      </c>
      <c r="M89" s="1" t="s">
        <v>29</v>
      </c>
      <c r="N89" s="6">
        <v>1</v>
      </c>
      <c r="O89" s="6"/>
      <c r="BC89" s="1">
        <v>11.11</v>
      </c>
    </row>
    <row r="90" spans="1:74" x14ac:dyDescent="0.2">
      <c r="A90" s="1" t="s">
        <v>571</v>
      </c>
      <c r="B90" s="1" t="s">
        <v>564</v>
      </c>
      <c r="C90" s="1" t="s">
        <v>572</v>
      </c>
      <c r="D90" s="1" t="s">
        <v>573</v>
      </c>
      <c r="E90" s="1" t="s">
        <v>11</v>
      </c>
      <c r="F90" s="1" t="s">
        <v>574</v>
      </c>
      <c r="H90" s="1" t="s">
        <v>565</v>
      </c>
      <c r="L90" s="1" t="s">
        <v>566</v>
      </c>
      <c r="M90" s="1" t="s">
        <v>29</v>
      </c>
      <c r="N90" s="6">
        <v>1</v>
      </c>
      <c r="O90" s="6"/>
      <c r="BC90" s="1">
        <v>3.91</v>
      </c>
    </row>
    <row r="91" spans="1:74" x14ac:dyDescent="0.2">
      <c r="A91" s="1" t="s">
        <v>575</v>
      </c>
      <c r="B91" s="1" t="s">
        <v>564</v>
      </c>
      <c r="C91" s="1" t="s">
        <v>572</v>
      </c>
      <c r="D91" s="1" t="s">
        <v>573</v>
      </c>
      <c r="E91" s="1" t="s">
        <v>11</v>
      </c>
      <c r="F91" s="1" t="s">
        <v>574</v>
      </c>
      <c r="H91" s="1" t="s">
        <v>568</v>
      </c>
      <c r="L91" s="1" t="s">
        <v>566</v>
      </c>
      <c r="M91" s="1" t="s">
        <v>29</v>
      </c>
      <c r="N91" s="6">
        <v>1</v>
      </c>
      <c r="O91" s="6"/>
      <c r="BC91" s="1">
        <v>10.130000000000001</v>
      </c>
    </row>
    <row r="92" spans="1:74" x14ac:dyDescent="0.2">
      <c r="A92" s="1" t="s">
        <v>576</v>
      </c>
      <c r="B92" s="1" t="s">
        <v>577</v>
      </c>
      <c r="D92" s="1" t="s">
        <v>578</v>
      </c>
      <c r="E92" s="1" t="s">
        <v>9</v>
      </c>
      <c r="F92" s="1" t="s">
        <v>579</v>
      </c>
      <c r="H92" s="1" t="s">
        <v>580</v>
      </c>
      <c r="I92" s="1">
        <v>5</v>
      </c>
      <c r="L92" s="1" t="s">
        <v>581</v>
      </c>
      <c r="M92" s="1" t="s">
        <v>29</v>
      </c>
      <c r="N92" s="6">
        <v>1</v>
      </c>
      <c r="O92" s="6"/>
      <c r="AX92" s="1">
        <v>47</v>
      </c>
      <c r="BB92" s="1">
        <v>0.04</v>
      </c>
      <c r="BC92" s="1">
        <v>0.5</v>
      </c>
      <c r="BD92" s="1">
        <v>318</v>
      </c>
      <c r="BE92" s="1">
        <v>18</v>
      </c>
      <c r="BF92" s="1">
        <v>0.4</v>
      </c>
      <c r="BG92" s="1">
        <v>5</v>
      </c>
      <c r="BL92" s="1">
        <v>0.33</v>
      </c>
    </row>
    <row r="93" spans="1:74" x14ac:dyDescent="0.2">
      <c r="A93" s="1" t="s">
        <v>582</v>
      </c>
      <c r="B93" s="1" t="s">
        <v>577</v>
      </c>
      <c r="D93" s="1" t="s">
        <v>583</v>
      </c>
      <c r="E93" s="1" t="s">
        <v>9</v>
      </c>
      <c r="F93" s="1" t="s">
        <v>584</v>
      </c>
      <c r="H93" s="1" t="s">
        <v>585</v>
      </c>
      <c r="I93" s="1">
        <v>5</v>
      </c>
      <c r="L93" s="1" t="s">
        <v>581</v>
      </c>
      <c r="M93" s="1" t="s">
        <v>29</v>
      </c>
      <c r="N93" s="6">
        <v>1</v>
      </c>
      <c r="O93" s="6"/>
      <c r="AX93" s="1">
        <v>98</v>
      </c>
      <c r="BB93" s="1">
        <v>0.1</v>
      </c>
      <c r="BC93" s="1">
        <v>1.1000000000000001</v>
      </c>
      <c r="BD93" s="1">
        <v>363</v>
      </c>
      <c r="BE93" s="1">
        <v>30</v>
      </c>
      <c r="BF93" s="1">
        <v>0.3</v>
      </c>
      <c r="BG93" s="1">
        <v>4</v>
      </c>
      <c r="BL93" s="1">
        <v>0.4</v>
      </c>
    </row>
    <row r="94" spans="1:74" x14ac:dyDescent="0.2">
      <c r="A94" s="1" t="s">
        <v>586</v>
      </c>
      <c r="B94" s="1" t="s">
        <v>577</v>
      </c>
      <c r="D94" s="1" t="s">
        <v>587</v>
      </c>
      <c r="E94" s="1" t="s">
        <v>9</v>
      </c>
      <c r="F94" s="1" t="s">
        <v>588</v>
      </c>
      <c r="H94" s="1" t="s">
        <v>580</v>
      </c>
      <c r="I94" s="1">
        <v>5</v>
      </c>
      <c r="L94" s="1" t="s">
        <v>581</v>
      </c>
      <c r="M94" s="1" t="s">
        <v>29</v>
      </c>
      <c r="N94" s="6">
        <v>1</v>
      </c>
      <c r="O94" s="6"/>
      <c r="AX94" s="1">
        <v>127</v>
      </c>
      <c r="BB94" s="1">
        <v>0.2</v>
      </c>
      <c r="BC94" s="1">
        <v>0.9</v>
      </c>
      <c r="BE94" s="1">
        <v>30</v>
      </c>
      <c r="BF94" s="1">
        <v>0.2</v>
      </c>
      <c r="BG94" s="1">
        <v>14</v>
      </c>
      <c r="BL94" s="1">
        <v>0.8</v>
      </c>
    </row>
    <row r="95" spans="1:74" x14ac:dyDescent="0.2">
      <c r="A95" s="1" t="s">
        <v>589</v>
      </c>
      <c r="B95" s="1" t="s">
        <v>577</v>
      </c>
      <c r="D95" s="1" t="s">
        <v>590</v>
      </c>
      <c r="E95" s="1" t="s">
        <v>9</v>
      </c>
      <c r="F95" s="1" t="s">
        <v>591</v>
      </c>
      <c r="H95" s="1" t="s">
        <v>580</v>
      </c>
      <c r="I95" s="1">
        <v>5</v>
      </c>
      <c r="L95" s="1" t="s">
        <v>581</v>
      </c>
      <c r="M95" s="1" t="s">
        <v>29</v>
      </c>
      <c r="N95" s="6">
        <v>1</v>
      </c>
      <c r="O95" s="6"/>
      <c r="AX95" s="1">
        <v>286</v>
      </c>
      <c r="BB95" s="1">
        <v>0.04</v>
      </c>
      <c r="BC95" s="1">
        <v>0.4</v>
      </c>
      <c r="BD95" s="1">
        <v>712</v>
      </c>
      <c r="BE95" s="1">
        <v>51</v>
      </c>
      <c r="BF95" s="1">
        <v>0.3</v>
      </c>
      <c r="BL95" s="1">
        <v>0.28999999999999998</v>
      </c>
    </row>
    <row r="96" spans="1:74" x14ac:dyDescent="0.2">
      <c r="A96" s="1" t="s">
        <v>592</v>
      </c>
      <c r="B96" s="1" t="s">
        <v>577</v>
      </c>
      <c r="D96" s="1" t="s">
        <v>590</v>
      </c>
      <c r="E96" s="1" t="s">
        <v>9</v>
      </c>
      <c r="F96" s="1" t="s">
        <v>591</v>
      </c>
      <c r="H96" s="1" t="s">
        <v>593</v>
      </c>
      <c r="I96" s="1">
        <v>5</v>
      </c>
      <c r="L96" s="1" t="s">
        <v>581</v>
      </c>
      <c r="M96" s="1" t="s">
        <v>29</v>
      </c>
      <c r="N96" s="6">
        <v>1</v>
      </c>
      <c r="O96" s="6"/>
      <c r="AX96" s="1">
        <v>331</v>
      </c>
      <c r="BB96" s="1">
        <v>0.06</v>
      </c>
      <c r="BC96" s="1">
        <v>0.5</v>
      </c>
      <c r="BD96" s="1">
        <v>816</v>
      </c>
      <c r="BE96" s="1">
        <v>58</v>
      </c>
      <c r="BF96" s="1">
        <v>0.4</v>
      </c>
      <c r="BG96" s="1">
        <v>15</v>
      </c>
      <c r="BL96" s="1">
        <v>0.3</v>
      </c>
    </row>
    <row r="97" spans="1:91" x14ac:dyDescent="0.2">
      <c r="A97" s="1" t="s">
        <v>594</v>
      </c>
      <c r="B97" s="1" t="s">
        <v>577</v>
      </c>
      <c r="D97" s="1" t="s">
        <v>595</v>
      </c>
      <c r="E97" s="1" t="s">
        <v>9</v>
      </c>
      <c r="F97" s="1" t="s">
        <v>596</v>
      </c>
      <c r="H97" s="1" t="s">
        <v>580</v>
      </c>
      <c r="I97" s="1">
        <v>5</v>
      </c>
      <c r="L97" s="1" t="s">
        <v>581</v>
      </c>
      <c r="M97" s="1" t="s">
        <v>29</v>
      </c>
      <c r="N97" s="6">
        <v>1</v>
      </c>
      <c r="O97" s="6"/>
      <c r="AX97" s="1">
        <v>47</v>
      </c>
      <c r="BB97" s="1">
        <v>0.04</v>
      </c>
      <c r="BC97" s="1">
        <v>0.2</v>
      </c>
      <c r="BD97" s="1">
        <v>228</v>
      </c>
      <c r="BE97" s="1">
        <v>13</v>
      </c>
      <c r="BF97" s="1">
        <v>0.05</v>
      </c>
      <c r="BG97" s="1">
        <v>5</v>
      </c>
      <c r="BL97" s="1">
        <v>0.23</v>
      </c>
    </row>
    <row r="98" spans="1:91" x14ac:dyDescent="0.2">
      <c r="A98" s="1" t="s">
        <v>597</v>
      </c>
      <c r="B98" s="1" t="s">
        <v>577</v>
      </c>
      <c r="D98" s="1" t="s">
        <v>595</v>
      </c>
      <c r="E98" s="1" t="s">
        <v>9</v>
      </c>
      <c r="F98" s="1" t="s">
        <v>596</v>
      </c>
      <c r="H98" s="1" t="s">
        <v>593</v>
      </c>
      <c r="I98" s="1">
        <v>5</v>
      </c>
      <c r="L98" s="1" t="s">
        <v>581</v>
      </c>
      <c r="M98" s="1" t="s">
        <v>29</v>
      </c>
      <c r="N98" s="6">
        <v>1</v>
      </c>
      <c r="O98" s="6"/>
      <c r="AX98" s="1">
        <v>50</v>
      </c>
      <c r="BB98" s="1">
        <v>0.04</v>
      </c>
      <c r="BC98" s="1">
        <v>0.22</v>
      </c>
      <c r="BD98" s="1">
        <v>256</v>
      </c>
      <c r="BE98" s="1">
        <v>14</v>
      </c>
      <c r="BF98" s="1">
        <v>0.2</v>
      </c>
      <c r="BG98" s="1">
        <v>5</v>
      </c>
      <c r="BL98" s="1">
        <v>0.3</v>
      </c>
    </row>
    <row r="99" spans="1:91" x14ac:dyDescent="0.2">
      <c r="A99" s="1" t="s">
        <v>598</v>
      </c>
      <c r="B99" s="1" t="s">
        <v>577</v>
      </c>
      <c r="D99" s="1" t="s">
        <v>447</v>
      </c>
      <c r="E99" s="1" t="s">
        <v>9</v>
      </c>
      <c r="F99" s="1" t="s">
        <v>448</v>
      </c>
      <c r="H99" s="1" t="s">
        <v>580</v>
      </c>
      <c r="I99" s="1">
        <v>5</v>
      </c>
      <c r="L99" s="1" t="s">
        <v>581</v>
      </c>
      <c r="M99" s="1" t="s">
        <v>29</v>
      </c>
      <c r="N99" s="6">
        <v>1</v>
      </c>
      <c r="O99" s="6"/>
      <c r="AX99" s="1">
        <v>44</v>
      </c>
      <c r="BB99" s="1">
        <v>0.05</v>
      </c>
      <c r="BC99" s="1">
        <v>0.14000000000000001</v>
      </c>
      <c r="BD99" s="1">
        <v>266</v>
      </c>
      <c r="BE99" s="1">
        <v>14</v>
      </c>
      <c r="BF99" s="1">
        <v>0.2</v>
      </c>
      <c r="BG99" s="1">
        <v>3</v>
      </c>
      <c r="BL99" s="1">
        <v>0.2</v>
      </c>
    </row>
    <row r="100" spans="1:91" x14ac:dyDescent="0.2">
      <c r="A100" s="1" t="s">
        <v>599</v>
      </c>
      <c r="B100" s="1" t="s">
        <v>577</v>
      </c>
      <c r="D100" s="1" t="s">
        <v>447</v>
      </c>
      <c r="E100" s="1" t="s">
        <v>9</v>
      </c>
      <c r="F100" s="1" t="s">
        <v>448</v>
      </c>
      <c r="H100" s="1" t="s">
        <v>593</v>
      </c>
      <c r="I100" s="1">
        <v>5</v>
      </c>
      <c r="L100" s="1" t="s">
        <v>581</v>
      </c>
      <c r="M100" s="1" t="s">
        <v>29</v>
      </c>
      <c r="N100" s="6">
        <v>1</v>
      </c>
      <c r="O100" s="6"/>
      <c r="AX100" s="1">
        <v>46</v>
      </c>
      <c r="BB100" s="1">
        <v>0.04</v>
      </c>
      <c r="BC100" s="1">
        <v>0.16</v>
      </c>
      <c r="BD100" s="1">
        <v>275</v>
      </c>
      <c r="BE100" s="1">
        <v>15</v>
      </c>
      <c r="BF100" s="1">
        <v>0.2</v>
      </c>
      <c r="BG100" s="1">
        <v>3</v>
      </c>
      <c r="BL100" s="1">
        <v>0.2</v>
      </c>
    </row>
    <row r="101" spans="1:91" x14ac:dyDescent="0.2">
      <c r="A101" s="1" t="s">
        <v>600</v>
      </c>
      <c r="B101" s="1" t="s">
        <v>577</v>
      </c>
      <c r="D101" s="1" t="s">
        <v>601</v>
      </c>
      <c r="E101" s="1" t="s">
        <v>7</v>
      </c>
      <c r="F101" s="1" t="s">
        <v>602</v>
      </c>
      <c r="H101" s="1" t="s">
        <v>580</v>
      </c>
      <c r="I101" s="1">
        <v>5</v>
      </c>
      <c r="L101" s="1" t="s">
        <v>581</v>
      </c>
      <c r="M101" s="1" t="s">
        <v>29</v>
      </c>
      <c r="N101" s="6">
        <v>1</v>
      </c>
      <c r="O101" s="6"/>
      <c r="AX101" s="1">
        <v>64</v>
      </c>
      <c r="BB101" s="1">
        <v>0.05</v>
      </c>
      <c r="BC101" s="1">
        <v>1</v>
      </c>
      <c r="BD101" s="1">
        <v>537</v>
      </c>
      <c r="BE101" s="1">
        <v>55</v>
      </c>
      <c r="BF101" s="1">
        <v>1</v>
      </c>
      <c r="BG101" s="1">
        <v>94</v>
      </c>
      <c r="BL101" s="1">
        <v>0.3</v>
      </c>
    </row>
    <row r="102" spans="1:91" x14ac:dyDescent="0.2">
      <c r="A102" s="1" t="s">
        <v>603</v>
      </c>
      <c r="B102" s="1" t="s">
        <v>604</v>
      </c>
      <c r="C102" s="1" t="s">
        <v>605</v>
      </c>
      <c r="D102" s="1" t="s">
        <v>606</v>
      </c>
      <c r="E102" s="1" t="s">
        <v>7</v>
      </c>
      <c r="F102" s="1" t="s">
        <v>607</v>
      </c>
      <c r="I102" s="1">
        <v>3</v>
      </c>
      <c r="L102" s="1" t="s">
        <v>608</v>
      </c>
      <c r="M102" s="1" t="s">
        <v>29</v>
      </c>
      <c r="N102" s="6">
        <v>1</v>
      </c>
      <c r="O102" s="6"/>
      <c r="BV102" s="1">
        <v>979</v>
      </c>
      <c r="CM102" s="1">
        <v>68.8</v>
      </c>
    </row>
    <row r="103" spans="1:91" x14ac:dyDescent="0.2">
      <c r="A103" s="1" t="s">
        <v>609</v>
      </c>
      <c r="B103" s="1" t="s">
        <v>604</v>
      </c>
      <c r="C103" s="1" t="s">
        <v>605</v>
      </c>
      <c r="D103" s="1" t="s">
        <v>610</v>
      </c>
      <c r="E103" s="1" t="s">
        <v>11</v>
      </c>
      <c r="F103" s="1" t="s">
        <v>607</v>
      </c>
      <c r="I103" s="1">
        <v>3</v>
      </c>
      <c r="L103" s="1" t="s">
        <v>608</v>
      </c>
      <c r="M103" s="1" t="s">
        <v>29</v>
      </c>
      <c r="N103" s="6">
        <v>1</v>
      </c>
      <c r="O103" s="6"/>
      <c r="BV103" s="1">
        <v>6780</v>
      </c>
      <c r="CM103" s="1">
        <v>22.7</v>
      </c>
    </row>
    <row r="104" spans="1:91" x14ac:dyDescent="0.2">
      <c r="A104" s="1" t="s">
        <v>611</v>
      </c>
      <c r="B104" s="1" t="s">
        <v>604</v>
      </c>
      <c r="C104" s="1" t="s">
        <v>605</v>
      </c>
      <c r="D104" s="1" t="s">
        <v>612</v>
      </c>
      <c r="E104" s="1" t="s">
        <v>11</v>
      </c>
      <c r="F104" s="1" t="s">
        <v>607</v>
      </c>
      <c r="H104" s="1" t="s">
        <v>613</v>
      </c>
      <c r="I104" s="1">
        <v>3</v>
      </c>
      <c r="L104" s="1" t="s">
        <v>608</v>
      </c>
      <c r="M104" s="1" t="s">
        <v>29</v>
      </c>
      <c r="N104" s="6">
        <v>1</v>
      </c>
      <c r="O104" s="6"/>
      <c r="BV104" s="1">
        <v>8810</v>
      </c>
      <c r="CM104" s="1">
        <v>28.2</v>
      </c>
    </row>
    <row r="105" spans="1:91" x14ac:dyDescent="0.2">
      <c r="A105" s="1" t="s">
        <v>614</v>
      </c>
      <c r="B105" s="1" t="s">
        <v>604</v>
      </c>
      <c r="C105" s="1" t="s">
        <v>605</v>
      </c>
      <c r="D105" s="1" t="s">
        <v>615</v>
      </c>
      <c r="E105" s="1" t="s">
        <v>11</v>
      </c>
      <c r="F105" s="1" t="s">
        <v>607</v>
      </c>
      <c r="I105" s="1">
        <v>3</v>
      </c>
      <c r="L105" s="1" t="s">
        <v>608</v>
      </c>
      <c r="M105" s="1" t="s">
        <v>29</v>
      </c>
      <c r="N105" s="6">
        <v>1</v>
      </c>
      <c r="O105" s="6"/>
      <c r="BV105" s="1">
        <v>7150</v>
      </c>
      <c r="CM105" s="1">
        <v>22.6</v>
      </c>
    </row>
    <row r="106" spans="1:91" x14ac:dyDescent="0.2">
      <c r="A106" s="1" t="s">
        <v>616</v>
      </c>
      <c r="B106" s="1" t="s">
        <v>604</v>
      </c>
      <c r="C106" s="1" t="s">
        <v>605</v>
      </c>
      <c r="D106" s="1" t="s">
        <v>612</v>
      </c>
      <c r="E106" s="1" t="s">
        <v>11</v>
      </c>
      <c r="F106" s="1" t="s">
        <v>607</v>
      </c>
      <c r="H106" s="1" t="s">
        <v>617</v>
      </c>
      <c r="I106" s="1">
        <v>3</v>
      </c>
      <c r="L106" s="1" t="s">
        <v>608</v>
      </c>
      <c r="M106" s="1" t="s">
        <v>29</v>
      </c>
      <c r="N106" s="6">
        <v>1</v>
      </c>
      <c r="O106" s="6"/>
      <c r="BV106" s="1">
        <v>7740</v>
      </c>
      <c r="CM106" s="1">
        <v>22.6</v>
      </c>
    </row>
    <row r="107" spans="1:91" x14ac:dyDescent="0.2">
      <c r="A107" s="1" t="s">
        <v>618</v>
      </c>
      <c r="B107" s="1" t="s">
        <v>604</v>
      </c>
      <c r="C107" s="1" t="s">
        <v>605</v>
      </c>
      <c r="D107" s="1" t="s">
        <v>612</v>
      </c>
      <c r="E107" s="1" t="s">
        <v>11</v>
      </c>
      <c r="F107" s="1" t="s">
        <v>607</v>
      </c>
      <c r="H107" s="1" t="s">
        <v>619</v>
      </c>
      <c r="I107" s="1">
        <v>3</v>
      </c>
      <c r="L107" s="1" t="s">
        <v>608</v>
      </c>
      <c r="M107" s="1" t="s">
        <v>29</v>
      </c>
      <c r="N107" s="6">
        <v>1</v>
      </c>
      <c r="O107" s="6"/>
      <c r="BV107" s="1">
        <v>6660</v>
      </c>
      <c r="CM107" s="1">
        <v>22.6</v>
      </c>
    </row>
    <row r="108" spans="1:91" x14ac:dyDescent="0.2">
      <c r="A108" s="1" t="s">
        <v>620</v>
      </c>
      <c r="B108" s="1" t="s">
        <v>604</v>
      </c>
      <c r="C108" s="1" t="s">
        <v>605</v>
      </c>
      <c r="D108" s="1" t="s">
        <v>621</v>
      </c>
      <c r="E108" s="1" t="s">
        <v>9</v>
      </c>
      <c r="F108" s="1" t="s">
        <v>607</v>
      </c>
      <c r="I108" s="1">
        <v>3</v>
      </c>
      <c r="L108" s="1" t="s">
        <v>608</v>
      </c>
      <c r="M108" s="1" t="s">
        <v>29</v>
      </c>
      <c r="N108" s="6">
        <v>1</v>
      </c>
      <c r="O108" s="6"/>
      <c r="BV108" s="1">
        <v>1030</v>
      </c>
      <c r="CM108" s="1">
        <v>31.6</v>
      </c>
    </row>
    <row r="109" spans="1:91" x14ac:dyDescent="0.2">
      <c r="A109" s="1" t="s">
        <v>622</v>
      </c>
      <c r="B109" s="1" t="s">
        <v>604</v>
      </c>
      <c r="C109" s="1" t="s">
        <v>605</v>
      </c>
      <c r="D109" s="1" t="s">
        <v>623</v>
      </c>
      <c r="E109" s="1" t="s">
        <v>9</v>
      </c>
      <c r="F109" s="1" t="s">
        <v>607</v>
      </c>
      <c r="I109" s="1">
        <v>3</v>
      </c>
      <c r="L109" s="1" t="s">
        <v>608</v>
      </c>
      <c r="M109" s="1" t="s">
        <v>29</v>
      </c>
      <c r="N109" s="6">
        <v>1</v>
      </c>
      <c r="O109" s="6"/>
      <c r="BV109" s="1">
        <v>1180</v>
      </c>
      <c r="CM109" s="1">
        <v>34.5</v>
      </c>
    </row>
    <row r="110" spans="1:91" x14ac:dyDescent="0.2">
      <c r="A110" s="1" t="s">
        <v>624</v>
      </c>
      <c r="B110" s="1" t="s">
        <v>604</v>
      </c>
      <c r="C110" s="1" t="s">
        <v>605</v>
      </c>
      <c r="D110" s="1" t="s">
        <v>625</v>
      </c>
      <c r="E110" s="1" t="s">
        <v>9</v>
      </c>
      <c r="F110" s="1" t="s">
        <v>607</v>
      </c>
      <c r="I110" s="1">
        <v>3</v>
      </c>
      <c r="L110" s="1" t="s">
        <v>608</v>
      </c>
      <c r="M110" s="1" t="s">
        <v>29</v>
      </c>
      <c r="N110" s="6">
        <v>1</v>
      </c>
      <c r="O110" s="6"/>
      <c r="BV110" s="1">
        <v>1330</v>
      </c>
      <c r="CM110" s="1">
        <v>24.7</v>
      </c>
    </row>
    <row r="111" spans="1:91" x14ac:dyDescent="0.2">
      <c r="A111" s="1" t="s">
        <v>626</v>
      </c>
      <c r="B111" s="1" t="s">
        <v>604</v>
      </c>
      <c r="C111" s="1" t="s">
        <v>605</v>
      </c>
      <c r="D111" s="1" t="s">
        <v>627</v>
      </c>
      <c r="E111" s="1" t="s">
        <v>9</v>
      </c>
      <c r="F111" s="1" t="s">
        <v>607</v>
      </c>
      <c r="H111" s="1" t="s">
        <v>628</v>
      </c>
      <c r="I111" s="1">
        <v>3</v>
      </c>
      <c r="L111" s="1" t="s">
        <v>608</v>
      </c>
      <c r="M111" s="1" t="s">
        <v>29</v>
      </c>
      <c r="N111" s="6">
        <v>1</v>
      </c>
      <c r="O111" s="6"/>
      <c r="BV111" s="1">
        <v>3130</v>
      </c>
      <c r="CM111" s="1">
        <v>33</v>
      </c>
    </row>
    <row r="112" spans="1:91" x14ac:dyDescent="0.2">
      <c r="A112" s="1" t="s">
        <v>629</v>
      </c>
      <c r="B112" s="1" t="s">
        <v>604</v>
      </c>
      <c r="C112" s="1" t="s">
        <v>605</v>
      </c>
      <c r="D112" s="1" t="s">
        <v>630</v>
      </c>
      <c r="E112" s="1" t="s">
        <v>9</v>
      </c>
      <c r="F112" s="1" t="s">
        <v>607</v>
      </c>
      <c r="H112" s="1" t="s">
        <v>631</v>
      </c>
      <c r="I112" s="1">
        <v>3</v>
      </c>
      <c r="L112" s="1" t="s">
        <v>608</v>
      </c>
      <c r="M112" s="1" t="s">
        <v>29</v>
      </c>
      <c r="N112" s="6">
        <v>1</v>
      </c>
      <c r="O112" s="6"/>
      <c r="BV112" s="1">
        <v>2730</v>
      </c>
      <c r="CM112" s="1">
        <v>131.6</v>
      </c>
    </row>
    <row r="113" spans="1:162" x14ac:dyDescent="0.2">
      <c r="A113" s="1" t="s">
        <v>632</v>
      </c>
      <c r="B113" s="1" t="s">
        <v>633</v>
      </c>
      <c r="D113" s="1" t="s">
        <v>606</v>
      </c>
      <c r="E113" s="1" t="s">
        <v>7</v>
      </c>
      <c r="F113" s="1" t="s">
        <v>487</v>
      </c>
      <c r="H113" s="1" t="s">
        <v>634</v>
      </c>
      <c r="I113" s="1">
        <v>4</v>
      </c>
      <c r="L113" s="1" t="s">
        <v>635</v>
      </c>
      <c r="M113" s="1" t="s">
        <v>29</v>
      </c>
      <c r="N113" s="6">
        <v>1</v>
      </c>
      <c r="O113" s="6"/>
      <c r="R113" s="1">
        <v>86.4</v>
      </c>
      <c r="AP113" s="1">
        <v>8.44</v>
      </c>
      <c r="BC113" s="1">
        <v>10.6</v>
      </c>
      <c r="CM113" s="1">
        <v>18.3</v>
      </c>
      <c r="ER113" s="1">
        <v>1.37</v>
      </c>
      <c r="FF113" s="1">
        <v>60.1</v>
      </c>
    </row>
    <row r="114" spans="1:162" x14ac:dyDescent="0.2">
      <c r="A114" s="1" t="s">
        <v>636</v>
      </c>
      <c r="B114" s="1" t="s">
        <v>633</v>
      </c>
      <c r="D114" s="1" t="s">
        <v>637</v>
      </c>
      <c r="E114" s="1" t="s">
        <v>11</v>
      </c>
      <c r="F114" s="1" t="s">
        <v>487</v>
      </c>
      <c r="H114" s="1" t="s">
        <v>638</v>
      </c>
      <c r="I114" s="1">
        <v>4</v>
      </c>
      <c r="L114" s="1" t="s">
        <v>635</v>
      </c>
      <c r="M114" s="1" t="s">
        <v>29</v>
      </c>
      <c r="N114" s="6">
        <v>1</v>
      </c>
      <c r="O114" s="6"/>
      <c r="R114" s="1">
        <v>79.099999999999994</v>
      </c>
      <c r="AP114" s="1">
        <v>9.1</v>
      </c>
      <c r="BC114" s="1">
        <v>10.4</v>
      </c>
      <c r="CM114" s="1">
        <v>4</v>
      </c>
      <c r="ER114" s="1">
        <v>1.18</v>
      </c>
      <c r="FF114" s="1">
        <v>82.5</v>
      </c>
    </row>
    <row r="115" spans="1:162" x14ac:dyDescent="0.2">
      <c r="A115" s="1" t="s">
        <v>639</v>
      </c>
      <c r="B115" s="1" t="s">
        <v>633</v>
      </c>
      <c r="D115" s="1" t="s">
        <v>637</v>
      </c>
      <c r="E115" s="1" t="s">
        <v>11</v>
      </c>
      <c r="F115" s="1" t="s">
        <v>487</v>
      </c>
      <c r="H115" s="1" t="s">
        <v>640</v>
      </c>
      <c r="I115" s="1">
        <v>4</v>
      </c>
      <c r="L115" s="1" t="s">
        <v>635</v>
      </c>
      <c r="M115" s="1" t="s">
        <v>29</v>
      </c>
      <c r="N115" s="6">
        <v>1</v>
      </c>
      <c r="O115" s="6"/>
      <c r="R115" s="1">
        <v>82.7</v>
      </c>
      <c r="AP115" s="1">
        <v>9.02</v>
      </c>
      <c r="BC115" s="1">
        <v>16.8</v>
      </c>
      <c r="CM115" s="1">
        <v>3.2</v>
      </c>
      <c r="ER115" s="1">
        <v>1.39</v>
      </c>
      <c r="FF115" s="1">
        <v>64.599999999999994</v>
      </c>
    </row>
    <row r="116" spans="1:162" x14ac:dyDescent="0.2">
      <c r="A116" s="1" t="s">
        <v>641</v>
      </c>
      <c r="B116" s="1" t="s">
        <v>633</v>
      </c>
      <c r="D116" s="1" t="s">
        <v>637</v>
      </c>
      <c r="E116" s="1" t="s">
        <v>11</v>
      </c>
      <c r="F116" s="1" t="s">
        <v>487</v>
      </c>
      <c r="H116" s="1" t="s">
        <v>642</v>
      </c>
      <c r="I116" s="1">
        <v>4</v>
      </c>
      <c r="L116" s="1" t="s">
        <v>635</v>
      </c>
      <c r="M116" s="1" t="s">
        <v>29</v>
      </c>
      <c r="N116" s="6">
        <v>1</v>
      </c>
      <c r="O116" s="6"/>
      <c r="R116" s="1">
        <v>83</v>
      </c>
      <c r="AP116" s="1">
        <v>9.35</v>
      </c>
      <c r="BC116" s="1">
        <v>11.86</v>
      </c>
      <c r="CM116" s="1">
        <v>3.2</v>
      </c>
      <c r="ER116" s="1">
        <v>1.1000000000000001</v>
      </c>
      <c r="FF116" s="1">
        <v>81</v>
      </c>
    </row>
    <row r="117" spans="1:162" x14ac:dyDescent="0.2">
      <c r="A117" s="1" t="s">
        <v>643</v>
      </c>
      <c r="B117" s="1" t="s">
        <v>633</v>
      </c>
      <c r="C117" s="1" t="s">
        <v>644</v>
      </c>
      <c r="D117" s="1" t="s">
        <v>645</v>
      </c>
      <c r="E117" s="1" t="s">
        <v>7</v>
      </c>
      <c r="F117" s="1" t="s">
        <v>607</v>
      </c>
      <c r="H117" s="1" t="s">
        <v>646</v>
      </c>
      <c r="I117" s="1">
        <v>4</v>
      </c>
      <c r="L117" s="1" t="s">
        <v>635</v>
      </c>
      <c r="M117" s="1" t="s">
        <v>29</v>
      </c>
      <c r="N117" s="6">
        <v>1</v>
      </c>
      <c r="O117" s="6"/>
      <c r="R117" s="1">
        <v>90.2</v>
      </c>
      <c r="AP117" s="1">
        <v>5.9</v>
      </c>
      <c r="BC117" s="1">
        <v>4.3</v>
      </c>
      <c r="CM117" s="1">
        <v>8.6999999999999993</v>
      </c>
      <c r="ER117" s="1">
        <v>0.63800000000000001</v>
      </c>
      <c r="FF117" s="1">
        <v>40.9</v>
      </c>
    </row>
    <row r="118" spans="1:162" x14ac:dyDescent="0.2">
      <c r="A118" s="1" t="s">
        <v>647</v>
      </c>
      <c r="B118" s="1" t="s">
        <v>633</v>
      </c>
      <c r="C118" s="1" t="s">
        <v>644</v>
      </c>
      <c r="D118" s="1" t="s">
        <v>470</v>
      </c>
      <c r="E118" s="1" t="s">
        <v>11</v>
      </c>
      <c r="F118" s="1" t="s">
        <v>607</v>
      </c>
      <c r="H118" s="1" t="s">
        <v>648</v>
      </c>
      <c r="I118" s="1">
        <v>4</v>
      </c>
      <c r="L118" s="1" t="s">
        <v>635</v>
      </c>
      <c r="M118" s="1" t="s">
        <v>29</v>
      </c>
      <c r="N118" s="6">
        <v>1</v>
      </c>
      <c r="O118" s="6"/>
      <c r="R118" s="1">
        <v>91.4</v>
      </c>
      <c r="AP118" s="1">
        <v>6.72</v>
      </c>
      <c r="BC118" s="1">
        <v>4.47</v>
      </c>
      <c r="CM118" s="1">
        <v>4.4000000000000004</v>
      </c>
      <c r="ER118" s="1">
        <v>0.77400000000000002</v>
      </c>
      <c r="FF118" s="1">
        <v>37.4</v>
      </c>
    </row>
    <row r="119" spans="1:162" x14ac:dyDescent="0.2">
      <c r="A119" s="1" t="s">
        <v>649</v>
      </c>
      <c r="B119" s="1" t="s">
        <v>633</v>
      </c>
      <c r="C119" s="1" t="s">
        <v>644</v>
      </c>
      <c r="D119" s="1" t="s">
        <v>470</v>
      </c>
      <c r="E119" s="1" t="s">
        <v>11</v>
      </c>
      <c r="F119" s="1" t="s">
        <v>607</v>
      </c>
      <c r="H119" s="1" t="s">
        <v>650</v>
      </c>
      <c r="I119" s="1">
        <v>4</v>
      </c>
      <c r="L119" s="1" t="s">
        <v>635</v>
      </c>
      <c r="M119" s="1" t="s">
        <v>29</v>
      </c>
      <c r="N119" s="6">
        <v>1</v>
      </c>
      <c r="O119" s="6"/>
      <c r="R119" s="1">
        <v>90.2</v>
      </c>
      <c r="AP119" s="1">
        <v>6.52</v>
      </c>
      <c r="BC119" s="1">
        <v>9.6999999999999993</v>
      </c>
      <c r="CM119" s="1">
        <v>4.4000000000000004</v>
      </c>
      <c r="ER119" s="1">
        <v>0.71099999999999997</v>
      </c>
      <c r="FF119" s="1">
        <v>30.1</v>
      </c>
    </row>
    <row r="120" spans="1:162" x14ac:dyDescent="0.2">
      <c r="A120" s="1" t="s">
        <v>651</v>
      </c>
      <c r="B120" s="1" t="s">
        <v>633</v>
      </c>
      <c r="C120" s="1" t="s">
        <v>644</v>
      </c>
      <c r="D120" s="1" t="s">
        <v>470</v>
      </c>
      <c r="E120" s="1" t="s">
        <v>11</v>
      </c>
      <c r="F120" s="1" t="s">
        <v>607</v>
      </c>
      <c r="H120" s="1" t="s">
        <v>652</v>
      </c>
      <c r="I120" s="1">
        <v>4</v>
      </c>
      <c r="L120" s="1" t="s">
        <v>635</v>
      </c>
      <c r="M120" s="1" t="s">
        <v>29</v>
      </c>
      <c r="N120" s="6">
        <v>1</v>
      </c>
      <c r="O120" s="6"/>
      <c r="R120" s="1">
        <v>91.3</v>
      </c>
      <c r="AP120" s="1">
        <v>6.61</v>
      </c>
      <c r="BC120" s="1">
        <v>4.3</v>
      </c>
      <c r="CM120" s="1">
        <v>3.3</v>
      </c>
      <c r="ER120" s="1">
        <v>0.51500000000000001</v>
      </c>
      <c r="FF120" s="1">
        <v>37.1</v>
      </c>
    </row>
    <row r="121" spans="1:162" x14ac:dyDescent="0.2">
      <c r="A121" s="1" t="s">
        <v>653</v>
      </c>
      <c r="B121" s="1" t="s">
        <v>633</v>
      </c>
      <c r="C121" s="1" t="s">
        <v>654</v>
      </c>
      <c r="D121" s="1" t="s">
        <v>645</v>
      </c>
      <c r="E121" s="1" t="s">
        <v>7</v>
      </c>
      <c r="F121" s="1" t="s">
        <v>655</v>
      </c>
      <c r="H121" s="1" t="s">
        <v>646</v>
      </c>
      <c r="I121" s="1">
        <v>4</v>
      </c>
      <c r="L121" s="1" t="s">
        <v>635</v>
      </c>
      <c r="M121" s="1" t="s">
        <v>29</v>
      </c>
      <c r="N121" s="6">
        <v>1</v>
      </c>
      <c r="O121" s="6"/>
      <c r="R121" s="1">
        <v>89.8</v>
      </c>
      <c r="AP121" s="1">
        <v>5.65</v>
      </c>
      <c r="BC121" s="1">
        <v>3.56</v>
      </c>
      <c r="CM121" s="1">
        <v>56.7</v>
      </c>
      <c r="ER121" s="1">
        <v>9.1999999999999998E-2</v>
      </c>
      <c r="FF121" s="1">
        <v>68.7</v>
      </c>
    </row>
    <row r="122" spans="1:162" x14ac:dyDescent="0.2">
      <c r="A122" s="1" t="s">
        <v>656</v>
      </c>
      <c r="B122" s="1" t="s">
        <v>633</v>
      </c>
      <c r="C122" s="1" t="s">
        <v>654</v>
      </c>
      <c r="D122" s="1" t="s">
        <v>470</v>
      </c>
      <c r="E122" s="1" t="s">
        <v>11</v>
      </c>
      <c r="F122" s="1" t="s">
        <v>655</v>
      </c>
      <c r="H122" s="1" t="s">
        <v>657</v>
      </c>
      <c r="I122" s="1">
        <v>4</v>
      </c>
      <c r="L122" s="1" t="s">
        <v>635</v>
      </c>
      <c r="M122" s="1" t="s">
        <v>29</v>
      </c>
      <c r="N122" s="6">
        <v>1</v>
      </c>
      <c r="O122" s="6"/>
      <c r="R122" s="1">
        <v>87.6</v>
      </c>
      <c r="AP122" s="1">
        <v>5.75</v>
      </c>
      <c r="BC122" s="1">
        <v>3.32</v>
      </c>
      <c r="CM122" s="1">
        <v>23.3</v>
      </c>
      <c r="ER122" s="1">
        <v>4.8000000000000001E-2</v>
      </c>
      <c r="FF122" s="1">
        <v>61.9</v>
      </c>
    </row>
    <row r="123" spans="1:162" x14ac:dyDescent="0.2">
      <c r="A123" s="1" t="s">
        <v>658</v>
      </c>
      <c r="B123" s="1" t="s">
        <v>633</v>
      </c>
      <c r="C123" s="1" t="s">
        <v>654</v>
      </c>
      <c r="D123" s="1" t="s">
        <v>470</v>
      </c>
      <c r="E123" s="1" t="s">
        <v>11</v>
      </c>
      <c r="F123" s="1" t="s">
        <v>655</v>
      </c>
      <c r="H123" s="1" t="s">
        <v>659</v>
      </c>
      <c r="I123" s="1">
        <v>4</v>
      </c>
      <c r="L123" s="1" t="s">
        <v>635</v>
      </c>
      <c r="M123" s="1" t="s">
        <v>29</v>
      </c>
      <c r="N123" s="6">
        <v>1</v>
      </c>
      <c r="O123" s="6"/>
      <c r="R123" s="1">
        <v>83.1</v>
      </c>
      <c r="AP123" s="1">
        <v>6.62</v>
      </c>
      <c r="BC123" s="1">
        <v>17.5</v>
      </c>
      <c r="CM123" s="1">
        <v>29.2</v>
      </c>
      <c r="ER123" s="1">
        <v>4.9000000000000002E-2</v>
      </c>
      <c r="FF123" s="1">
        <v>664</v>
      </c>
    </row>
    <row r="124" spans="1:162" x14ac:dyDescent="0.2">
      <c r="A124" s="1" t="s">
        <v>660</v>
      </c>
      <c r="B124" s="1" t="s">
        <v>633</v>
      </c>
      <c r="C124" s="1" t="s">
        <v>654</v>
      </c>
      <c r="D124" s="1" t="s">
        <v>470</v>
      </c>
      <c r="E124" s="1" t="s">
        <v>11</v>
      </c>
      <c r="F124" s="1" t="s">
        <v>655</v>
      </c>
      <c r="H124" s="1" t="s">
        <v>661</v>
      </c>
      <c r="I124" s="1">
        <v>4</v>
      </c>
      <c r="L124" s="1" t="s">
        <v>635</v>
      </c>
      <c r="M124" s="1" t="s">
        <v>29</v>
      </c>
      <c r="N124" s="6">
        <v>1</v>
      </c>
      <c r="O124" s="6"/>
      <c r="R124" s="1">
        <v>87.7</v>
      </c>
      <c r="AP124" s="1">
        <v>6.85</v>
      </c>
      <c r="BC124" s="1">
        <v>3.2</v>
      </c>
      <c r="CM124" s="1">
        <v>14.2</v>
      </c>
      <c r="ER124" s="1">
        <v>4.8000000000000001E-2</v>
      </c>
      <c r="FF124" s="1">
        <v>66</v>
      </c>
    </row>
    <row r="125" spans="1:162" x14ac:dyDescent="0.2">
      <c r="A125" s="1" t="s">
        <v>662</v>
      </c>
      <c r="B125" s="1" t="s">
        <v>663</v>
      </c>
      <c r="D125" s="1" t="s">
        <v>664</v>
      </c>
      <c r="E125" s="1" t="s">
        <v>11</v>
      </c>
      <c r="F125" s="1" t="s">
        <v>655</v>
      </c>
      <c r="H125" s="1" t="s">
        <v>665</v>
      </c>
      <c r="I125" s="1">
        <v>2</v>
      </c>
      <c r="L125" s="1" t="s">
        <v>666</v>
      </c>
      <c r="M125" s="1" t="s">
        <v>29</v>
      </c>
      <c r="N125" s="6">
        <v>1</v>
      </c>
      <c r="O125" s="6"/>
      <c r="P125" s="1">
        <v>655</v>
      </c>
      <c r="Q125" s="1">
        <v>156</v>
      </c>
      <c r="R125" s="1">
        <v>61.2</v>
      </c>
      <c r="X125" s="1">
        <v>2.8</v>
      </c>
      <c r="AA125" s="1">
        <v>1.5</v>
      </c>
      <c r="AW125" s="1">
        <v>1.1000000000000001</v>
      </c>
      <c r="BB125" s="1">
        <v>3.2000000000000001E-2</v>
      </c>
      <c r="BC125" s="1">
        <v>2.3660000000000001</v>
      </c>
      <c r="BL125" s="1">
        <v>1.645</v>
      </c>
      <c r="BV125" s="1">
        <v>2240</v>
      </c>
      <c r="CH125" s="1">
        <v>4.2999999999999997E-2</v>
      </c>
      <c r="CI125" s="1">
        <v>1.7000000000000001E-2</v>
      </c>
      <c r="CK125" s="1">
        <v>17</v>
      </c>
      <c r="CM125" s="1">
        <v>10</v>
      </c>
    </row>
    <row r="126" spans="1:162" x14ac:dyDescent="0.2">
      <c r="A126" s="1" t="s">
        <v>667</v>
      </c>
      <c r="B126" s="1" t="s">
        <v>663</v>
      </c>
      <c r="D126" s="1" t="s">
        <v>329</v>
      </c>
      <c r="E126" s="1" t="s">
        <v>7</v>
      </c>
      <c r="F126" s="1" t="s">
        <v>668</v>
      </c>
      <c r="I126" s="1">
        <v>2</v>
      </c>
      <c r="L126" s="1" t="s">
        <v>666</v>
      </c>
      <c r="M126" s="1" t="s">
        <v>29</v>
      </c>
      <c r="N126" s="6">
        <v>1</v>
      </c>
      <c r="O126" s="6"/>
      <c r="P126" s="1">
        <v>255</v>
      </c>
      <c r="Q126" s="1">
        <v>61</v>
      </c>
      <c r="R126" s="1">
        <v>84.9</v>
      </c>
      <c r="X126" s="1">
        <v>1.7</v>
      </c>
      <c r="AA126" s="1">
        <v>0.9</v>
      </c>
      <c r="AW126" s="1">
        <v>0.5</v>
      </c>
      <c r="BB126" s="1">
        <v>0.02</v>
      </c>
      <c r="BC126" s="1">
        <v>0.84</v>
      </c>
      <c r="BL126" s="1">
        <v>0.32300000000000001</v>
      </c>
      <c r="BV126" s="1">
        <v>1520</v>
      </c>
      <c r="CH126" s="1">
        <v>1.7999999999999999E-2</v>
      </c>
      <c r="CI126" s="1">
        <v>4.0000000000000001E-3</v>
      </c>
      <c r="CK126" s="1">
        <v>15</v>
      </c>
      <c r="CM126" s="1">
        <v>5.9</v>
      </c>
    </row>
    <row r="127" spans="1:162" x14ac:dyDescent="0.2">
      <c r="A127" s="1" t="s">
        <v>669</v>
      </c>
      <c r="B127" s="1" t="s">
        <v>663</v>
      </c>
      <c r="D127" s="1" t="s">
        <v>475</v>
      </c>
      <c r="E127" s="1" t="s">
        <v>11</v>
      </c>
      <c r="F127" s="1" t="s">
        <v>670</v>
      </c>
      <c r="H127" s="1" t="s">
        <v>665</v>
      </c>
      <c r="I127" s="1">
        <v>2</v>
      </c>
      <c r="L127" s="1" t="s">
        <v>666</v>
      </c>
      <c r="M127" s="1" t="s">
        <v>29</v>
      </c>
      <c r="N127" s="6">
        <v>1</v>
      </c>
      <c r="O127" s="6"/>
      <c r="P127" s="1">
        <v>680</v>
      </c>
      <c r="Q127" s="1">
        <v>162</v>
      </c>
      <c r="R127" s="1">
        <v>59.9</v>
      </c>
      <c r="X127" s="1">
        <v>7.7</v>
      </c>
      <c r="AA127" s="1">
        <v>1.8</v>
      </c>
      <c r="AW127" s="1">
        <v>1</v>
      </c>
      <c r="BB127" s="1">
        <v>0.03</v>
      </c>
      <c r="BC127" s="1">
        <v>0.79700000000000004</v>
      </c>
      <c r="BL127" s="1">
        <v>0.86399999999999999</v>
      </c>
      <c r="BV127" s="1">
        <v>3880</v>
      </c>
      <c r="CH127" s="1">
        <v>7.1999999999999995E-2</v>
      </c>
      <c r="CI127" s="1">
        <v>0.01</v>
      </c>
      <c r="CK127" s="1">
        <v>42</v>
      </c>
      <c r="CM127" s="1">
        <v>22.2</v>
      </c>
    </row>
    <row r="128" spans="1:162" x14ac:dyDescent="0.2">
      <c r="A128" s="1" t="s">
        <v>671</v>
      </c>
      <c r="B128" s="1" t="s">
        <v>663</v>
      </c>
      <c r="D128" s="1" t="s">
        <v>508</v>
      </c>
      <c r="E128" s="1" t="s">
        <v>11</v>
      </c>
      <c r="F128" s="1" t="s">
        <v>503</v>
      </c>
      <c r="H128" s="1" t="s">
        <v>665</v>
      </c>
      <c r="I128" s="1">
        <v>2</v>
      </c>
      <c r="L128" s="1" t="s">
        <v>666</v>
      </c>
      <c r="M128" s="1" t="s">
        <v>29</v>
      </c>
      <c r="N128" s="6">
        <v>1</v>
      </c>
      <c r="O128" s="6"/>
      <c r="P128" s="1">
        <v>250</v>
      </c>
      <c r="Q128" s="1">
        <v>60</v>
      </c>
      <c r="R128" s="1">
        <v>85.2</v>
      </c>
      <c r="X128" s="1">
        <v>2.4</v>
      </c>
      <c r="AA128" s="1">
        <v>1.5</v>
      </c>
      <c r="AW128" s="1">
        <v>0.7</v>
      </c>
      <c r="BB128" s="1">
        <v>7.0000000000000001E-3</v>
      </c>
      <c r="BC128" s="1">
        <v>0.41699999999999998</v>
      </c>
      <c r="BL128" s="1">
        <v>0.36399999999999999</v>
      </c>
      <c r="BV128" s="1">
        <v>4000</v>
      </c>
      <c r="CH128" s="1">
        <v>2.5000000000000001E-2</v>
      </c>
      <c r="CI128" s="1">
        <v>4.0000000000000001E-3</v>
      </c>
      <c r="CK128" s="1">
        <v>7</v>
      </c>
      <c r="CM128" s="1">
        <v>44.7</v>
      </c>
    </row>
    <row r="129" spans="1:163" x14ac:dyDescent="0.2">
      <c r="A129" s="1" t="s">
        <v>672</v>
      </c>
      <c r="B129" s="1" t="s">
        <v>663</v>
      </c>
      <c r="C129" s="1" t="s">
        <v>673</v>
      </c>
      <c r="D129" s="1" t="s">
        <v>470</v>
      </c>
      <c r="E129" s="1" t="s">
        <v>11</v>
      </c>
      <c r="F129" s="1" t="s">
        <v>674</v>
      </c>
      <c r="H129" s="1" t="s">
        <v>665</v>
      </c>
      <c r="I129" s="1">
        <v>2</v>
      </c>
      <c r="L129" s="1" t="s">
        <v>666</v>
      </c>
      <c r="M129" s="1" t="s">
        <v>29</v>
      </c>
      <c r="N129" s="6">
        <v>1</v>
      </c>
      <c r="O129" s="6"/>
      <c r="P129" s="1">
        <v>358</v>
      </c>
      <c r="Q129" s="1">
        <v>86</v>
      </c>
      <c r="R129" s="1">
        <v>79.2</v>
      </c>
      <c r="X129" s="1">
        <v>2.6</v>
      </c>
      <c r="AA129" s="1">
        <v>2.9</v>
      </c>
      <c r="AW129" s="1">
        <v>0.6</v>
      </c>
      <c r="BB129" s="1">
        <v>1.2E-2</v>
      </c>
      <c r="BC129" s="1">
        <v>0.32100000000000001</v>
      </c>
      <c r="BL129" s="1">
        <v>0.28699999999999998</v>
      </c>
      <c r="BV129" s="1">
        <v>3120</v>
      </c>
      <c r="CH129" s="1">
        <v>0.01</v>
      </c>
      <c r="CI129" s="1">
        <v>0.01</v>
      </c>
      <c r="CK129" s="1">
        <v>38</v>
      </c>
      <c r="CM129" s="1">
        <v>8.9</v>
      </c>
    </row>
    <row r="130" spans="1:163" x14ac:dyDescent="0.2">
      <c r="A130" s="1" t="s">
        <v>675</v>
      </c>
      <c r="B130" s="1" t="s">
        <v>663</v>
      </c>
      <c r="D130" s="1" t="s">
        <v>464</v>
      </c>
      <c r="E130" s="1" t="s">
        <v>11</v>
      </c>
      <c r="F130" s="1" t="s">
        <v>676</v>
      </c>
      <c r="H130" s="1" t="s">
        <v>665</v>
      </c>
      <c r="I130" s="1">
        <v>2</v>
      </c>
      <c r="L130" s="1" t="s">
        <v>666</v>
      </c>
      <c r="M130" s="1" t="s">
        <v>29</v>
      </c>
      <c r="N130" s="6">
        <v>1</v>
      </c>
      <c r="O130" s="6"/>
      <c r="P130" s="1">
        <v>172</v>
      </c>
      <c r="Q130" s="1">
        <v>41</v>
      </c>
      <c r="R130" s="1">
        <v>89.9</v>
      </c>
      <c r="X130" s="1">
        <v>1.4</v>
      </c>
      <c r="AA130" s="1">
        <v>2.2000000000000002</v>
      </c>
      <c r="AW130" s="1">
        <v>1</v>
      </c>
      <c r="BB130" s="1">
        <v>7.0000000000000001E-3</v>
      </c>
      <c r="BC130" s="1">
        <v>1.383</v>
      </c>
      <c r="BL130" s="1">
        <v>0.108</v>
      </c>
      <c r="BV130" s="1">
        <v>1080</v>
      </c>
      <c r="CH130" s="1">
        <v>3.2000000000000001E-2</v>
      </c>
      <c r="CI130" s="1">
        <v>3.0000000000000001E-3</v>
      </c>
      <c r="CK130" s="1">
        <v>9</v>
      </c>
      <c r="CM130" s="1">
        <v>18.899999999999999</v>
      </c>
    </row>
    <row r="131" spans="1:163" x14ac:dyDescent="0.2">
      <c r="A131" s="1" t="s">
        <v>677</v>
      </c>
      <c r="B131" s="1" t="s">
        <v>663</v>
      </c>
      <c r="C131" s="1" t="s">
        <v>678</v>
      </c>
      <c r="D131" s="1" t="s">
        <v>470</v>
      </c>
      <c r="E131" s="1" t="s">
        <v>11</v>
      </c>
      <c r="F131" s="1" t="s">
        <v>679</v>
      </c>
      <c r="H131" s="1" t="s">
        <v>665</v>
      </c>
      <c r="I131" s="1">
        <v>2</v>
      </c>
      <c r="L131" s="1" t="s">
        <v>666</v>
      </c>
      <c r="M131" s="1" t="s">
        <v>29</v>
      </c>
      <c r="N131" s="6">
        <v>1</v>
      </c>
      <c r="O131" s="6"/>
      <c r="P131" s="1">
        <v>339</v>
      </c>
      <c r="Q131" s="1">
        <v>81</v>
      </c>
      <c r="R131" s="1">
        <v>79.900000000000006</v>
      </c>
      <c r="X131" s="1">
        <v>6.1</v>
      </c>
      <c r="AA131" s="1">
        <v>1.8</v>
      </c>
      <c r="AW131" s="1">
        <v>1.4</v>
      </c>
      <c r="BB131" s="1">
        <v>2.1000000000000001E-2</v>
      </c>
      <c r="BC131" s="1">
        <v>1.333</v>
      </c>
      <c r="BL131" s="1">
        <v>0.83299999999999996</v>
      </c>
      <c r="BV131" s="1">
        <v>5640</v>
      </c>
      <c r="CH131" s="1">
        <v>8.0000000000000002E-3</v>
      </c>
      <c r="CI131" s="1">
        <v>5.0000000000000001E-3</v>
      </c>
      <c r="CK131" s="1">
        <v>9</v>
      </c>
      <c r="CM131" s="1">
        <v>44.6</v>
      </c>
    </row>
    <row r="132" spans="1:163" x14ac:dyDescent="0.2">
      <c r="A132" s="1" t="s">
        <v>680</v>
      </c>
      <c r="B132" s="1" t="s">
        <v>663</v>
      </c>
      <c r="D132" s="1" t="s">
        <v>681</v>
      </c>
      <c r="E132" s="1" t="s">
        <v>7</v>
      </c>
      <c r="F132" s="1" t="s">
        <v>579</v>
      </c>
      <c r="I132" s="1">
        <v>2</v>
      </c>
      <c r="L132" s="1" t="s">
        <v>666</v>
      </c>
      <c r="M132" s="1" t="s">
        <v>29</v>
      </c>
      <c r="N132" s="6">
        <v>1</v>
      </c>
      <c r="O132" s="6"/>
      <c r="P132" s="1">
        <v>114</v>
      </c>
      <c r="Q132" s="1">
        <v>27</v>
      </c>
      <c r="R132" s="1">
        <v>93.1</v>
      </c>
      <c r="X132" s="1">
        <v>1.4</v>
      </c>
      <c r="AA132" s="1">
        <v>0.3</v>
      </c>
      <c r="AW132" s="1">
        <v>1.2</v>
      </c>
      <c r="BB132" s="1">
        <v>6.0000000000000001E-3</v>
      </c>
      <c r="BC132" s="1">
        <v>0.52100000000000002</v>
      </c>
      <c r="BL132" s="1">
        <v>0.33100000000000002</v>
      </c>
      <c r="BV132" s="1">
        <v>1160</v>
      </c>
      <c r="CH132" s="1">
        <v>3.2000000000000001E-2</v>
      </c>
      <c r="CI132" s="1">
        <v>3.0000000000000001E-3</v>
      </c>
      <c r="CK132" s="1">
        <v>4</v>
      </c>
      <c r="CM132" s="1">
        <v>8.6999999999999993</v>
      </c>
    </row>
    <row r="133" spans="1:163" x14ac:dyDescent="0.2">
      <c r="A133" s="1" t="s">
        <v>682</v>
      </c>
      <c r="B133" s="1" t="s">
        <v>663</v>
      </c>
      <c r="C133" s="1" t="s">
        <v>683</v>
      </c>
      <c r="D133" s="1" t="s">
        <v>470</v>
      </c>
      <c r="E133" s="1" t="s">
        <v>11</v>
      </c>
      <c r="F133" s="1" t="s">
        <v>684</v>
      </c>
      <c r="H133" s="1" t="s">
        <v>665</v>
      </c>
      <c r="I133" s="1">
        <v>2</v>
      </c>
      <c r="L133" s="1" t="s">
        <v>666</v>
      </c>
      <c r="M133" s="1" t="s">
        <v>29</v>
      </c>
      <c r="N133" s="6">
        <v>1</v>
      </c>
      <c r="O133" s="6"/>
      <c r="P133" s="1">
        <v>267</v>
      </c>
      <c r="Q133" s="1">
        <v>64</v>
      </c>
      <c r="R133" s="1">
        <v>84.2</v>
      </c>
      <c r="X133" s="1">
        <v>2.2000000000000002</v>
      </c>
      <c r="AA133" s="1">
        <v>1.4</v>
      </c>
      <c r="AW133" s="1">
        <v>1.2</v>
      </c>
      <c r="BB133" s="1">
        <v>1.6E-2</v>
      </c>
      <c r="BC133" s="1">
        <v>0.93200000000000005</v>
      </c>
      <c r="BL133" s="1">
        <v>0.23300000000000001</v>
      </c>
      <c r="BV133" s="1">
        <v>3920</v>
      </c>
      <c r="CH133" s="1">
        <v>5.0999999999999997E-2</v>
      </c>
      <c r="CI133" s="1">
        <v>7.0000000000000001E-3</v>
      </c>
      <c r="CK133" s="1">
        <v>9</v>
      </c>
      <c r="CM133" s="1">
        <v>2.2999999999999998</v>
      </c>
    </row>
    <row r="134" spans="1:163" x14ac:dyDescent="0.2">
      <c r="A134" s="1" t="s">
        <v>685</v>
      </c>
      <c r="B134" s="1" t="s">
        <v>663</v>
      </c>
      <c r="D134" s="1" t="s">
        <v>686</v>
      </c>
      <c r="E134" s="1" t="s">
        <v>11</v>
      </c>
      <c r="F134" s="1" t="s">
        <v>558</v>
      </c>
      <c r="H134" s="1" t="s">
        <v>665</v>
      </c>
      <c r="I134" s="1">
        <v>2</v>
      </c>
      <c r="L134" s="1" t="s">
        <v>666</v>
      </c>
      <c r="M134" s="1" t="s">
        <v>29</v>
      </c>
      <c r="N134" s="6">
        <v>1</v>
      </c>
      <c r="O134" s="6"/>
      <c r="P134" s="1">
        <v>148</v>
      </c>
      <c r="Q134" s="1">
        <v>35</v>
      </c>
      <c r="R134" s="1">
        <v>91.2</v>
      </c>
      <c r="X134" s="1">
        <v>3.1</v>
      </c>
      <c r="AA134" s="1">
        <v>0.9</v>
      </c>
      <c r="AW134" s="1">
        <v>1.2</v>
      </c>
      <c r="BB134" s="1">
        <v>8.0000000000000002E-3</v>
      </c>
      <c r="BC134" s="1">
        <v>1.0669999999999999</v>
      </c>
      <c r="BL134" s="1">
        <v>0.23899999999999999</v>
      </c>
      <c r="BV134" s="1">
        <v>1520</v>
      </c>
      <c r="CH134" s="1">
        <v>5.0000000000000001E-3</v>
      </c>
      <c r="CI134" s="1">
        <v>4.0000000000000001E-3</v>
      </c>
      <c r="CK134" s="1">
        <v>7</v>
      </c>
      <c r="CM134" s="1">
        <v>11.9</v>
      </c>
    </row>
    <row r="135" spans="1:163" x14ac:dyDescent="0.2">
      <c r="A135" s="1" t="s">
        <v>687</v>
      </c>
      <c r="B135" s="1" t="s">
        <v>663</v>
      </c>
      <c r="C135" s="1" t="s">
        <v>688</v>
      </c>
      <c r="D135" s="1" t="s">
        <v>470</v>
      </c>
      <c r="E135" s="1" t="s">
        <v>11</v>
      </c>
      <c r="F135" s="1" t="s">
        <v>689</v>
      </c>
      <c r="H135" s="1" t="s">
        <v>665</v>
      </c>
      <c r="I135" s="1">
        <v>2</v>
      </c>
      <c r="L135" s="1" t="s">
        <v>666</v>
      </c>
      <c r="M135" s="1" t="s">
        <v>29</v>
      </c>
      <c r="N135" s="6">
        <v>1</v>
      </c>
      <c r="O135" s="6"/>
      <c r="P135" s="1">
        <v>155</v>
      </c>
      <c r="Q135" s="1">
        <v>37</v>
      </c>
      <c r="R135" s="1">
        <v>90.9</v>
      </c>
      <c r="X135" s="1">
        <v>3.4</v>
      </c>
      <c r="AA135" s="1">
        <v>2</v>
      </c>
      <c r="AW135" s="1">
        <v>0.3</v>
      </c>
      <c r="BB135" s="1">
        <v>6.0000000000000001E-3</v>
      </c>
      <c r="BC135" s="1">
        <v>1.274</v>
      </c>
      <c r="BL135" s="1">
        <v>0.107</v>
      </c>
      <c r="BV135" s="1">
        <v>1876</v>
      </c>
      <c r="CH135" s="1">
        <v>1.9E-2</v>
      </c>
      <c r="CI135" s="1">
        <v>4.0000000000000001E-3</v>
      </c>
      <c r="CK135" s="1">
        <v>3</v>
      </c>
      <c r="CM135" s="1">
        <v>6</v>
      </c>
    </row>
    <row r="136" spans="1:163" x14ac:dyDescent="0.2">
      <c r="A136" s="1" t="s">
        <v>690</v>
      </c>
      <c r="B136" s="1" t="s">
        <v>663</v>
      </c>
      <c r="D136" s="1" t="s">
        <v>691</v>
      </c>
      <c r="E136" s="1" t="s">
        <v>11</v>
      </c>
      <c r="F136" s="1" t="s">
        <v>692</v>
      </c>
      <c r="H136" s="1" t="s">
        <v>665</v>
      </c>
      <c r="I136" s="1">
        <v>2</v>
      </c>
      <c r="L136" s="1" t="s">
        <v>666</v>
      </c>
      <c r="M136" s="1" t="s">
        <v>29</v>
      </c>
      <c r="N136" s="6">
        <v>1</v>
      </c>
      <c r="O136" s="6"/>
      <c r="P136" s="1">
        <v>202</v>
      </c>
      <c r="Q136" s="1">
        <v>48</v>
      </c>
      <c r="R136" s="1">
        <v>88.1</v>
      </c>
      <c r="X136" s="1">
        <v>0.8</v>
      </c>
      <c r="AA136" s="1">
        <v>2</v>
      </c>
      <c r="AW136" s="1">
        <v>0.6</v>
      </c>
      <c r="BB136" s="1">
        <v>1.2E-2</v>
      </c>
      <c r="BC136" s="1">
        <v>0.72099999999999997</v>
      </c>
      <c r="BL136" s="1">
        <v>0.216</v>
      </c>
      <c r="BV136" s="1">
        <v>4480</v>
      </c>
      <c r="CH136" s="1">
        <v>1.0999999999999999E-2</v>
      </c>
      <c r="CI136" s="1">
        <v>6.0000000000000001E-3</v>
      </c>
      <c r="CK136" s="1">
        <v>10</v>
      </c>
      <c r="CM136" s="1">
        <v>2.2000000000000002</v>
      </c>
    </row>
    <row r="137" spans="1:163" x14ac:dyDescent="0.2">
      <c r="A137" s="1" t="s">
        <v>693</v>
      </c>
      <c r="B137" s="1" t="s">
        <v>663</v>
      </c>
      <c r="D137" s="1" t="s">
        <v>694</v>
      </c>
      <c r="E137" s="1" t="s">
        <v>11</v>
      </c>
      <c r="F137" s="1" t="s">
        <v>607</v>
      </c>
      <c r="H137" s="1" t="s">
        <v>665</v>
      </c>
      <c r="I137" s="1">
        <v>2</v>
      </c>
      <c r="L137" s="1" t="s">
        <v>666</v>
      </c>
      <c r="M137" s="1" t="s">
        <v>29</v>
      </c>
      <c r="N137" s="6">
        <v>1</v>
      </c>
      <c r="O137" s="6"/>
      <c r="P137" s="1">
        <v>315</v>
      </c>
      <c r="Q137" s="1">
        <v>75</v>
      </c>
      <c r="R137" s="1">
        <v>81.3</v>
      </c>
      <c r="X137" s="1">
        <v>2.6</v>
      </c>
      <c r="AA137" s="1">
        <v>1</v>
      </c>
      <c r="AW137" s="1">
        <v>0.5</v>
      </c>
      <c r="BB137" s="1">
        <v>6.0000000000000001E-3</v>
      </c>
      <c r="BC137" s="1">
        <v>1.343</v>
      </c>
      <c r="BL137" s="1">
        <v>0.30599999999999999</v>
      </c>
      <c r="BV137" s="1">
        <v>2840</v>
      </c>
      <c r="CH137" s="1">
        <v>7.0000000000000001E-3</v>
      </c>
      <c r="CI137" s="1">
        <v>6.0000000000000001E-3</v>
      </c>
      <c r="CK137" s="1">
        <v>35</v>
      </c>
      <c r="CM137" s="1">
        <v>48.7</v>
      </c>
    </row>
    <row r="138" spans="1:163" x14ac:dyDescent="0.2">
      <c r="A138" s="1" t="s">
        <v>695</v>
      </c>
      <c r="B138" s="1" t="s">
        <v>663</v>
      </c>
      <c r="D138" s="1" t="s">
        <v>696</v>
      </c>
      <c r="E138" s="1" t="s">
        <v>11</v>
      </c>
      <c r="F138" s="1" t="s">
        <v>676</v>
      </c>
      <c r="H138" s="1" t="s">
        <v>697</v>
      </c>
      <c r="I138" s="1">
        <v>2</v>
      </c>
      <c r="L138" s="1" t="s">
        <v>666</v>
      </c>
      <c r="M138" s="1" t="s">
        <v>29</v>
      </c>
      <c r="N138" s="6">
        <v>1</v>
      </c>
      <c r="O138" s="6"/>
      <c r="P138" s="1">
        <v>386</v>
      </c>
      <c r="Q138" s="1">
        <v>97</v>
      </c>
      <c r="R138" s="1">
        <v>77.2</v>
      </c>
      <c r="X138" s="1">
        <v>1.1000000000000001</v>
      </c>
      <c r="AA138" s="1">
        <v>6</v>
      </c>
      <c r="AW138" s="1">
        <v>0.5</v>
      </c>
      <c r="BB138" s="1">
        <v>6.0000000000000001E-3</v>
      </c>
      <c r="BC138" s="1">
        <v>0.18</v>
      </c>
      <c r="BL138" s="1">
        <v>0.05</v>
      </c>
      <c r="BV138" s="1">
        <v>80</v>
      </c>
      <c r="CH138" s="1">
        <v>1.9E-2</v>
      </c>
      <c r="CI138" s="1">
        <v>0.01</v>
      </c>
      <c r="CK138" s="1">
        <v>4</v>
      </c>
      <c r="CM138" s="1">
        <v>8.6</v>
      </c>
    </row>
    <row r="139" spans="1:163" x14ac:dyDescent="0.2">
      <c r="A139" s="1" t="s">
        <v>698</v>
      </c>
      <c r="B139" s="1" t="s">
        <v>663</v>
      </c>
      <c r="D139" s="1" t="s">
        <v>699</v>
      </c>
      <c r="E139" s="1" t="s">
        <v>11</v>
      </c>
      <c r="F139" s="1" t="s">
        <v>700</v>
      </c>
      <c r="H139" s="1" t="s">
        <v>665</v>
      </c>
      <c r="I139" s="1">
        <v>2</v>
      </c>
      <c r="L139" s="1" t="s">
        <v>666</v>
      </c>
      <c r="M139" s="1" t="s">
        <v>29</v>
      </c>
      <c r="N139" s="6">
        <v>1</v>
      </c>
      <c r="O139" s="6"/>
      <c r="P139" s="1">
        <v>511</v>
      </c>
      <c r="Q139" s="1">
        <v>131</v>
      </c>
      <c r="R139" s="1">
        <v>70.2</v>
      </c>
      <c r="X139" s="1">
        <v>1.5</v>
      </c>
      <c r="AA139" s="1">
        <v>8</v>
      </c>
      <c r="AW139" s="1">
        <v>0.7</v>
      </c>
      <c r="BB139" s="1">
        <v>0.29199999999999998</v>
      </c>
      <c r="BC139" s="1">
        <v>9.5000000000000001E-2</v>
      </c>
      <c r="BL139" s="1">
        <v>0.182</v>
      </c>
      <c r="BV139" s="1">
        <v>155</v>
      </c>
      <c r="CH139" s="1">
        <v>4.5999999999999999E-2</v>
      </c>
      <c r="CI139" s="1">
        <v>1.7999999999999999E-2</v>
      </c>
      <c r="CK139" s="1">
        <v>22</v>
      </c>
      <c r="CM139" s="1">
        <v>34</v>
      </c>
    </row>
    <row r="140" spans="1:163" x14ac:dyDescent="0.2">
      <c r="A140" s="1" t="s">
        <v>701</v>
      </c>
      <c r="B140" s="1" t="s">
        <v>702</v>
      </c>
      <c r="C140" s="1" t="s">
        <v>703</v>
      </c>
      <c r="D140" s="1" t="s">
        <v>704</v>
      </c>
      <c r="E140" s="1" t="s">
        <v>705</v>
      </c>
      <c r="F140" s="1" t="s">
        <v>706</v>
      </c>
      <c r="G140" s="1" t="s">
        <v>707</v>
      </c>
      <c r="H140" s="1" t="s">
        <v>708</v>
      </c>
      <c r="I140" s="1">
        <v>3</v>
      </c>
      <c r="L140" s="1" t="s">
        <v>709</v>
      </c>
      <c r="M140" s="1" t="s">
        <v>29</v>
      </c>
      <c r="N140" s="6">
        <v>1</v>
      </c>
      <c r="O140" s="6"/>
      <c r="Q140" s="1">
        <v>378</v>
      </c>
      <c r="R140" s="1">
        <v>86.82</v>
      </c>
      <c r="S140" s="1">
        <v>13.18</v>
      </c>
      <c r="X140" s="1">
        <v>2.8</v>
      </c>
      <c r="Z140" s="1">
        <v>0.53</v>
      </c>
      <c r="AI140" s="1">
        <v>8.4499999999999993</v>
      </c>
      <c r="AJ140" s="1">
        <v>2.08</v>
      </c>
      <c r="AL140" s="1">
        <v>3.6</v>
      </c>
      <c r="AW140" s="1">
        <v>1.3</v>
      </c>
      <c r="AX140" s="1">
        <v>0.13</v>
      </c>
      <c r="BC140" s="1">
        <v>0.99099999999999999</v>
      </c>
      <c r="CL140" s="1">
        <v>21.944699999999997</v>
      </c>
      <c r="DW140" s="1" t="s">
        <v>710</v>
      </c>
      <c r="DX140" s="1" t="s">
        <v>711</v>
      </c>
      <c r="DY140" s="1" t="s">
        <v>712</v>
      </c>
      <c r="DZ140" s="1" t="s">
        <v>713</v>
      </c>
      <c r="EA140" s="1" t="s">
        <v>714</v>
      </c>
      <c r="EC140" s="1" t="s">
        <v>715</v>
      </c>
      <c r="ED140" s="1" t="s">
        <v>716</v>
      </c>
      <c r="EE140" s="1" t="s">
        <v>717</v>
      </c>
      <c r="EF140" s="1" t="s">
        <v>716</v>
      </c>
      <c r="EG140" s="1" t="s">
        <v>718</v>
      </c>
      <c r="EH140" s="1" t="s">
        <v>719</v>
      </c>
      <c r="EI140" s="1" t="s">
        <v>720</v>
      </c>
      <c r="EJ140" s="1" t="s">
        <v>721</v>
      </c>
      <c r="EK140" s="1" t="s">
        <v>722</v>
      </c>
      <c r="EL140" s="1" t="s">
        <v>723</v>
      </c>
      <c r="EM140" s="1" t="s">
        <v>723</v>
      </c>
      <c r="EN140" s="1" t="s">
        <v>724</v>
      </c>
      <c r="EO140" s="1" t="s">
        <v>725</v>
      </c>
      <c r="EP140" s="1" t="s">
        <v>719</v>
      </c>
      <c r="ER140" s="1">
        <v>0.70644800000000008</v>
      </c>
      <c r="FG140" s="1">
        <v>0.18781500000000001</v>
      </c>
    </row>
    <row r="141" spans="1:163" x14ac:dyDescent="0.2">
      <c r="A141" s="1" t="s">
        <v>726</v>
      </c>
      <c r="B141" s="1" t="s">
        <v>702</v>
      </c>
      <c r="C141" s="1" t="s">
        <v>703</v>
      </c>
      <c r="D141" s="1" t="s">
        <v>727</v>
      </c>
      <c r="E141" s="1" t="s">
        <v>705</v>
      </c>
      <c r="F141" s="1" t="s">
        <v>706</v>
      </c>
      <c r="G141" s="1" t="s">
        <v>707</v>
      </c>
      <c r="H141" s="1" t="s">
        <v>708</v>
      </c>
      <c r="I141" s="1">
        <v>3</v>
      </c>
      <c r="L141" s="1" t="s">
        <v>709</v>
      </c>
      <c r="M141" s="1" t="s">
        <v>29</v>
      </c>
      <c r="N141" s="6">
        <v>1</v>
      </c>
      <c r="O141" s="6"/>
      <c r="Q141" s="1">
        <v>365</v>
      </c>
      <c r="R141" s="1">
        <v>89.01</v>
      </c>
      <c r="S141" s="1">
        <v>10.99</v>
      </c>
      <c r="X141" s="1">
        <v>2.7</v>
      </c>
      <c r="Z141" s="1">
        <v>0.28000000000000003</v>
      </c>
      <c r="AI141" s="1">
        <v>6.74</v>
      </c>
      <c r="AJ141" s="1">
        <v>1.44</v>
      </c>
      <c r="AL141" s="1">
        <v>3.3</v>
      </c>
      <c r="AW141" s="1">
        <v>1.3</v>
      </c>
      <c r="AX141" s="1">
        <v>0.13</v>
      </c>
      <c r="BC141" s="1">
        <v>1.3188</v>
      </c>
      <c r="CL141" s="1">
        <v>15.11125</v>
      </c>
      <c r="DW141" s="1" t="s">
        <v>728</v>
      </c>
      <c r="DX141" s="1" t="s">
        <v>729</v>
      </c>
      <c r="DY141" s="1" t="s">
        <v>730</v>
      </c>
      <c r="DZ141" s="1" t="s">
        <v>731</v>
      </c>
      <c r="EA141" s="1" t="s">
        <v>732</v>
      </c>
      <c r="EC141" s="1" t="s">
        <v>733</v>
      </c>
      <c r="ED141" s="1" t="s">
        <v>734</v>
      </c>
      <c r="EE141" s="1" t="s">
        <v>735</v>
      </c>
      <c r="EF141" s="1" t="s">
        <v>736</v>
      </c>
      <c r="EG141" s="1" t="s">
        <v>737</v>
      </c>
      <c r="EH141" s="1" t="s">
        <v>738</v>
      </c>
      <c r="EI141" s="1" t="s">
        <v>739</v>
      </c>
      <c r="EJ141" s="1" t="s">
        <v>740</v>
      </c>
      <c r="EK141" s="1" t="s">
        <v>741</v>
      </c>
      <c r="EL141" s="1" t="s">
        <v>742</v>
      </c>
      <c r="EM141" s="1" t="s">
        <v>743</v>
      </c>
      <c r="EN141" s="1" t="s">
        <v>739</v>
      </c>
      <c r="EO141" s="1" t="s">
        <v>744</v>
      </c>
      <c r="EP141" s="1" t="s">
        <v>745</v>
      </c>
      <c r="ER141" s="1">
        <v>0.67258800000000007</v>
      </c>
      <c r="FG141" s="1">
        <v>0.20935950000000003</v>
      </c>
    </row>
    <row r="142" spans="1:163" x14ac:dyDescent="0.2">
      <c r="A142" s="1" t="s">
        <v>746</v>
      </c>
      <c r="B142" s="1" t="s">
        <v>747</v>
      </c>
      <c r="D142" s="1" t="s">
        <v>748</v>
      </c>
      <c r="E142" s="1" t="s">
        <v>7</v>
      </c>
      <c r="F142" s="1" t="s">
        <v>607</v>
      </c>
      <c r="G142" s="1" t="s">
        <v>749</v>
      </c>
      <c r="H142" s="1" t="s">
        <v>750</v>
      </c>
      <c r="L142" s="1" t="s">
        <v>751</v>
      </c>
      <c r="M142" s="1" t="s">
        <v>29</v>
      </c>
      <c r="N142" s="6">
        <v>1</v>
      </c>
      <c r="O142" s="6"/>
      <c r="P142" s="1">
        <v>140</v>
      </c>
      <c r="R142" s="1">
        <v>89.9</v>
      </c>
      <c r="T142" s="1">
        <v>6.25</v>
      </c>
      <c r="V142" s="1">
        <v>3.49</v>
      </c>
      <c r="Z142" s="1">
        <v>0.15</v>
      </c>
      <c r="AW142" s="1">
        <v>2.12</v>
      </c>
      <c r="AX142" s="1">
        <v>232</v>
      </c>
      <c r="BC142" s="1">
        <v>16.2</v>
      </c>
      <c r="BE142" s="1">
        <v>141</v>
      </c>
      <c r="BI142" s="1">
        <v>70.599999999999994</v>
      </c>
      <c r="BL142" s="1">
        <v>0.8</v>
      </c>
      <c r="BV142" s="1">
        <v>1214</v>
      </c>
      <c r="CI142" s="1">
        <v>0.03</v>
      </c>
    </row>
    <row r="143" spans="1:163" x14ac:dyDescent="0.2">
      <c r="A143" s="1" t="s">
        <v>752</v>
      </c>
      <c r="B143" s="1" t="s">
        <v>747</v>
      </c>
      <c r="D143" s="1" t="s">
        <v>753</v>
      </c>
      <c r="E143" s="1" t="s">
        <v>11</v>
      </c>
      <c r="F143" s="1" t="s">
        <v>607</v>
      </c>
      <c r="G143" s="1" t="s">
        <v>749</v>
      </c>
      <c r="H143" s="1" t="s">
        <v>754</v>
      </c>
      <c r="L143" s="1" t="s">
        <v>751</v>
      </c>
      <c r="M143" s="1" t="s">
        <v>29</v>
      </c>
      <c r="N143" s="6">
        <v>1</v>
      </c>
      <c r="O143" s="6"/>
      <c r="P143" s="1">
        <v>143</v>
      </c>
      <c r="R143" s="1">
        <v>90</v>
      </c>
      <c r="T143" s="1">
        <v>6.25</v>
      </c>
      <c r="V143" s="1">
        <v>3.51</v>
      </c>
      <c r="Z143" s="1">
        <v>0.13</v>
      </c>
      <c r="AW143" s="1">
        <v>1.65</v>
      </c>
      <c r="AX143" s="1">
        <v>272</v>
      </c>
      <c r="BC143" s="1">
        <v>8.5</v>
      </c>
      <c r="BE143" s="1">
        <v>105</v>
      </c>
      <c r="BI143" s="1">
        <v>64.900000000000006</v>
      </c>
      <c r="BL143" s="1">
        <v>0.7</v>
      </c>
      <c r="BV143" s="1">
        <v>1701</v>
      </c>
      <c r="CI143" s="1">
        <v>0.01</v>
      </c>
    </row>
    <row r="144" spans="1:163" x14ac:dyDescent="0.2">
      <c r="A144" s="1" t="s">
        <v>755</v>
      </c>
      <c r="B144" s="1" t="s">
        <v>756</v>
      </c>
      <c r="D144" s="1" t="s">
        <v>757</v>
      </c>
      <c r="E144" s="1" t="s">
        <v>7</v>
      </c>
      <c r="F144" s="1" t="s">
        <v>355</v>
      </c>
      <c r="G144" s="1" t="s">
        <v>758</v>
      </c>
      <c r="I144" s="1">
        <v>6</v>
      </c>
      <c r="L144" s="1" t="s">
        <v>759</v>
      </c>
      <c r="M144" s="1" t="s">
        <v>29</v>
      </c>
      <c r="N144" s="6">
        <v>1</v>
      </c>
      <c r="O144" s="6"/>
      <c r="R144" s="1">
        <v>87.2</v>
      </c>
      <c r="T144" s="1">
        <v>6.25</v>
      </c>
      <c r="V144" s="1">
        <v>3.2</v>
      </c>
      <c r="Z144" s="1">
        <v>0.5</v>
      </c>
      <c r="AE144" s="1">
        <v>5.2</v>
      </c>
      <c r="AO144" s="1">
        <v>1.5</v>
      </c>
      <c r="AW144" s="1">
        <v>2.4</v>
      </c>
      <c r="CL144" s="1">
        <v>178.2</v>
      </c>
    </row>
    <row r="145" spans="1:91" x14ac:dyDescent="0.2">
      <c r="A145" s="1" t="s">
        <v>760</v>
      </c>
      <c r="B145" s="1" t="s">
        <v>756</v>
      </c>
      <c r="D145" s="1" t="s">
        <v>761</v>
      </c>
      <c r="E145" s="1" t="s">
        <v>11</v>
      </c>
      <c r="F145" s="1" t="s">
        <v>355</v>
      </c>
      <c r="G145" s="1" t="s">
        <v>758</v>
      </c>
      <c r="H145" s="1" t="s">
        <v>762</v>
      </c>
      <c r="I145" s="1">
        <v>6</v>
      </c>
      <c r="L145" s="1" t="s">
        <v>759</v>
      </c>
      <c r="M145" s="1" t="s">
        <v>29</v>
      </c>
      <c r="N145" s="6">
        <v>1</v>
      </c>
      <c r="O145" s="6"/>
      <c r="R145" s="1">
        <v>86.9</v>
      </c>
      <c r="T145" s="1">
        <v>6.25</v>
      </c>
      <c r="V145" s="1">
        <v>3</v>
      </c>
      <c r="Z145" s="1">
        <v>0.4</v>
      </c>
      <c r="AE145" s="1">
        <v>5</v>
      </c>
      <c r="AO145" s="1">
        <v>2.1</v>
      </c>
      <c r="AW145" s="1">
        <v>2.6</v>
      </c>
      <c r="CL145" s="1">
        <v>93.6</v>
      </c>
    </row>
    <row r="146" spans="1:91" x14ac:dyDescent="0.2">
      <c r="A146" s="1" t="s">
        <v>763</v>
      </c>
      <c r="B146" s="1" t="s">
        <v>756</v>
      </c>
      <c r="D146" s="1" t="s">
        <v>764</v>
      </c>
      <c r="E146" s="1" t="s">
        <v>9</v>
      </c>
      <c r="F146" s="1" t="s">
        <v>355</v>
      </c>
      <c r="G146" s="1" t="s">
        <v>758</v>
      </c>
      <c r="H146" s="1" t="s">
        <v>765</v>
      </c>
      <c r="I146" s="1">
        <v>6</v>
      </c>
      <c r="L146" s="1" t="s">
        <v>759</v>
      </c>
      <c r="M146" s="1" t="s">
        <v>29</v>
      </c>
      <c r="N146" s="6">
        <v>1</v>
      </c>
      <c r="O146" s="6"/>
      <c r="R146" s="1">
        <v>57.3</v>
      </c>
      <c r="T146" s="1">
        <v>6.25</v>
      </c>
      <c r="V146" s="1">
        <v>3.4</v>
      </c>
      <c r="Z146" s="1">
        <v>0.6</v>
      </c>
      <c r="AE146" s="1">
        <v>32.9</v>
      </c>
      <c r="AO146" s="1">
        <v>2.5</v>
      </c>
      <c r="AW146" s="1">
        <v>3.3</v>
      </c>
      <c r="CL146" s="1">
        <v>110.1</v>
      </c>
    </row>
    <row r="147" spans="1:91" x14ac:dyDescent="0.2">
      <c r="A147" s="1" t="s">
        <v>766</v>
      </c>
      <c r="B147" s="1" t="s">
        <v>756</v>
      </c>
      <c r="D147" s="1" t="s">
        <v>767</v>
      </c>
      <c r="E147" s="1" t="s">
        <v>11</v>
      </c>
      <c r="F147" s="1" t="s">
        <v>355</v>
      </c>
      <c r="G147" s="1" t="s">
        <v>758</v>
      </c>
      <c r="H147" s="1" t="s">
        <v>768</v>
      </c>
      <c r="I147" s="1">
        <v>6</v>
      </c>
      <c r="L147" s="1" t="s">
        <v>759</v>
      </c>
      <c r="M147" s="1" t="s">
        <v>29</v>
      </c>
      <c r="N147" s="6">
        <v>1</v>
      </c>
      <c r="O147" s="6"/>
      <c r="R147" s="1">
        <v>64.3</v>
      </c>
      <c r="T147" s="1">
        <v>6.25</v>
      </c>
      <c r="V147" s="1">
        <v>2.8</v>
      </c>
      <c r="Z147" s="1">
        <v>0.4</v>
      </c>
      <c r="AE147" s="1">
        <v>27.2</v>
      </c>
      <c r="AO147" s="1">
        <v>2.2999999999999998</v>
      </c>
      <c r="AW147" s="1">
        <v>3</v>
      </c>
      <c r="CL147" s="1">
        <v>57.9</v>
      </c>
    </row>
    <row r="148" spans="1:91" x14ac:dyDescent="0.2">
      <c r="A148" s="1" t="s">
        <v>769</v>
      </c>
      <c r="B148" s="1" t="s">
        <v>770</v>
      </c>
      <c r="C148" s="1" t="s">
        <v>771</v>
      </c>
      <c r="D148" s="1" t="s">
        <v>470</v>
      </c>
      <c r="E148" s="1" t="s">
        <v>11</v>
      </c>
      <c r="F148" s="1" t="s">
        <v>772</v>
      </c>
      <c r="H148" s="1" t="s">
        <v>773</v>
      </c>
      <c r="I148" s="1">
        <v>6</v>
      </c>
      <c r="L148" s="1" t="s">
        <v>774</v>
      </c>
      <c r="M148" s="1" t="s">
        <v>29</v>
      </c>
      <c r="N148" s="6">
        <v>1</v>
      </c>
      <c r="O148" s="6"/>
      <c r="R148" s="1">
        <v>81.7</v>
      </c>
      <c r="S148" s="1">
        <v>18.3</v>
      </c>
      <c r="T148" s="1">
        <v>6.25</v>
      </c>
      <c r="V148" s="1">
        <v>2.5986000000000002</v>
      </c>
      <c r="Z148" s="1">
        <v>7.8689999999999998</v>
      </c>
      <c r="AW148" s="1">
        <v>2.9645999999999999</v>
      </c>
      <c r="BC148" s="1">
        <v>2.0861999999999998</v>
      </c>
      <c r="BD148" s="1">
        <v>34.770000000000003</v>
      </c>
      <c r="BL148" s="1">
        <v>0.43920000000000003</v>
      </c>
      <c r="BP148" s="1">
        <v>329.4</v>
      </c>
      <c r="BS148" s="1">
        <v>3824.7</v>
      </c>
      <c r="BW148" s="1">
        <v>219.6</v>
      </c>
    </row>
    <row r="149" spans="1:91" x14ac:dyDescent="0.2">
      <c r="A149" s="1" t="s">
        <v>775</v>
      </c>
      <c r="B149" s="1" t="s">
        <v>770</v>
      </c>
      <c r="C149" s="1" t="s">
        <v>776</v>
      </c>
      <c r="D149" s="1" t="s">
        <v>470</v>
      </c>
      <c r="E149" s="1" t="s">
        <v>11</v>
      </c>
      <c r="F149" s="1" t="s">
        <v>777</v>
      </c>
      <c r="H149" s="1" t="s">
        <v>778</v>
      </c>
      <c r="I149" s="1">
        <v>6</v>
      </c>
      <c r="L149" s="1" t="s">
        <v>774</v>
      </c>
      <c r="M149" s="1" t="s">
        <v>29</v>
      </c>
      <c r="N149" s="6">
        <v>1</v>
      </c>
      <c r="O149" s="6"/>
      <c r="R149" s="1">
        <v>82.1</v>
      </c>
      <c r="S149" s="1">
        <v>17.899999999999999</v>
      </c>
      <c r="T149" s="1">
        <v>6.25</v>
      </c>
      <c r="V149" s="1">
        <v>1.6467999999999998</v>
      </c>
      <c r="Z149" s="1">
        <v>8.7888999999999999</v>
      </c>
      <c r="AW149" s="1">
        <v>2.4880999999999998</v>
      </c>
      <c r="BC149" s="1">
        <v>1.9152999999999998</v>
      </c>
      <c r="BD149" s="1">
        <v>19.690000000000001</v>
      </c>
      <c r="BL149" s="1">
        <v>0.19690000000000002</v>
      </c>
      <c r="BP149" s="1">
        <v>232.7</v>
      </c>
      <c r="BS149" s="1">
        <v>2828.2</v>
      </c>
      <c r="BW149" s="1">
        <v>143.19999999999999</v>
      </c>
    </row>
    <row r="150" spans="1:91" x14ac:dyDescent="0.2">
      <c r="A150" s="1" t="s">
        <v>779</v>
      </c>
      <c r="B150" s="1" t="s">
        <v>770</v>
      </c>
      <c r="C150" s="1" t="s">
        <v>780</v>
      </c>
      <c r="D150" s="1" t="s">
        <v>781</v>
      </c>
      <c r="E150" s="1" t="s">
        <v>11</v>
      </c>
      <c r="F150" s="1" t="s">
        <v>782</v>
      </c>
      <c r="H150" s="1" t="s">
        <v>783</v>
      </c>
      <c r="I150" s="1">
        <v>6</v>
      </c>
      <c r="L150" s="1" t="s">
        <v>774</v>
      </c>
      <c r="M150" s="1" t="s">
        <v>29</v>
      </c>
      <c r="N150" s="6">
        <v>1</v>
      </c>
      <c r="O150" s="6"/>
      <c r="R150" s="1">
        <v>83.1</v>
      </c>
      <c r="S150" s="1">
        <v>16.899999999999999</v>
      </c>
      <c r="T150" s="1">
        <v>6.25</v>
      </c>
      <c r="V150" s="1">
        <v>1.8252000000000002</v>
      </c>
      <c r="Z150" s="1">
        <v>7.7063999999999995</v>
      </c>
      <c r="AW150" s="1">
        <v>2.9575</v>
      </c>
      <c r="BC150" s="1">
        <v>1.9603999999999997</v>
      </c>
      <c r="BD150" s="1">
        <v>33.799999999999997</v>
      </c>
      <c r="BL150" s="1">
        <v>0.37180000000000002</v>
      </c>
      <c r="BP150" s="1">
        <v>270.39999999999998</v>
      </c>
      <c r="BS150" s="1">
        <v>3261.7</v>
      </c>
      <c r="BW150" s="1">
        <v>185.9</v>
      </c>
    </row>
    <row r="151" spans="1:91" x14ac:dyDescent="0.2">
      <c r="A151" s="1" t="s">
        <v>784</v>
      </c>
      <c r="B151" s="1" t="s">
        <v>770</v>
      </c>
      <c r="C151" s="1" t="s">
        <v>785</v>
      </c>
      <c r="D151" s="1" t="s">
        <v>786</v>
      </c>
      <c r="E151" s="1" t="s">
        <v>11</v>
      </c>
      <c r="F151" s="1" t="s">
        <v>588</v>
      </c>
      <c r="H151" s="1" t="s">
        <v>787</v>
      </c>
      <c r="I151" s="1">
        <v>6</v>
      </c>
      <c r="L151" s="1" t="s">
        <v>774</v>
      </c>
      <c r="M151" s="1" t="s">
        <v>29</v>
      </c>
      <c r="N151" s="6">
        <v>1</v>
      </c>
      <c r="O151" s="6"/>
      <c r="R151" s="1">
        <v>78.599999999999994</v>
      </c>
      <c r="S151" s="1">
        <v>21.4</v>
      </c>
      <c r="T151" s="1">
        <v>6.25</v>
      </c>
      <c r="V151" s="1">
        <v>2.6963999999999997</v>
      </c>
      <c r="Z151" s="1">
        <v>11.1708</v>
      </c>
      <c r="AW151" s="1">
        <v>3.0602</v>
      </c>
      <c r="BC151" s="1">
        <v>2.0972</v>
      </c>
      <c r="BD151" s="1">
        <v>27.82</v>
      </c>
      <c r="BL151" s="1">
        <v>0.32099999999999995</v>
      </c>
      <c r="BP151" s="1">
        <v>470.8</v>
      </c>
      <c r="BS151" s="1">
        <v>5585.4</v>
      </c>
      <c r="BW151" s="1">
        <v>321</v>
      </c>
    </row>
    <row r="152" spans="1:91" x14ac:dyDescent="0.2">
      <c r="A152" s="1" t="s">
        <v>788</v>
      </c>
      <c r="B152" s="1" t="s">
        <v>770</v>
      </c>
      <c r="C152" s="1" t="s">
        <v>789</v>
      </c>
      <c r="D152" s="1" t="s">
        <v>470</v>
      </c>
      <c r="E152" s="1" t="s">
        <v>11</v>
      </c>
      <c r="F152" s="1" t="s">
        <v>558</v>
      </c>
      <c r="H152" s="1" t="s">
        <v>790</v>
      </c>
      <c r="I152" s="1">
        <v>6</v>
      </c>
      <c r="L152" s="1" t="s">
        <v>774</v>
      </c>
      <c r="M152" s="1" t="s">
        <v>29</v>
      </c>
      <c r="N152" s="6">
        <v>1</v>
      </c>
      <c r="O152" s="6"/>
      <c r="R152" s="1">
        <v>84.3</v>
      </c>
      <c r="S152" s="1">
        <v>15.7</v>
      </c>
      <c r="T152" s="1">
        <v>6.25</v>
      </c>
      <c r="V152" s="1">
        <v>2.2607999999999997</v>
      </c>
      <c r="Z152" s="1">
        <v>6.2485999999999988</v>
      </c>
      <c r="AW152" s="1">
        <v>3.0457999999999998</v>
      </c>
      <c r="BC152" s="1">
        <v>1.3973</v>
      </c>
      <c r="BD152" s="1">
        <v>34.54</v>
      </c>
      <c r="BL152" s="1">
        <v>0.43959999999999994</v>
      </c>
      <c r="BP152" s="1">
        <v>266.89999999999998</v>
      </c>
      <c r="BS152" s="1">
        <v>3140</v>
      </c>
      <c r="BW152" s="1">
        <v>172.7</v>
      </c>
    </row>
    <row r="153" spans="1:91" x14ac:dyDescent="0.2">
      <c r="A153" s="1" t="s">
        <v>791</v>
      </c>
      <c r="B153" s="1" t="s">
        <v>770</v>
      </c>
      <c r="C153" s="1" t="s">
        <v>792</v>
      </c>
      <c r="D153" s="1" t="s">
        <v>793</v>
      </c>
      <c r="E153" s="1" t="s">
        <v>11</v>
      </c>
      <c r="F153" s="1" t="s">
        <v>794</v>
      </c>
      <c r="H153" s="1" t="s">
        <v>795</v>
      </c>
      <c r="I153" s="1">
        <v>4</v>
      </c>
      <c r="L153" s="1" t="s">
        <v>774</v>
      </c>
      <c r="M153" s="1" t="s">
        <v>29</v>
      </c>
      <c r="N153" s="6">
        <v>1</v>
      </c>
      <c r="O153" s="6"/>
      <c r="R153" s="1">
        <v>83.4</v>
      </c>
      <c r="S153" s="1">
        <v>16.600000000000001</v>
      </c>
      <c r="T153" s="1">
        <v>6.25</v>
      </c>
      <c r="V153" s="1">
        <v>1.909</v>
      </c>
      <c r="Z153" s="1">
        <v>6.4076000000000013</v>
      </c>
      <c r="AW153" s="1">
        <v>2.4236</v>
      </c>
      <c r="BC153" s="1">
        <v>4.7476000000000003</v>
      </c>
      <c r="BD153" s="1">
        <v>23.24</v>
      </c>
      <c r="BL153" s="1">
        <v>0.21580000000000002</v>
      </c>
      <c r="BP153" s="1">
        <v>265.60000000000002</v>
      </c>
      <c r="BS153" s="1">
        <v>3120.8</v>
      </c>
      <c r="BW153" s="1">
        <v>215.8</v>
      </c>
    </row>
    <row r="154" spans="1:91" x14ac:dyDescent="0.2">
      <c r="A154" s="1" t="s">
        <v>796</v>
      </c>
      <c r="B154" s="1" t="s">
        <v>797</v>
      </c>
      <c r="D154" s="1" t="s">
        <v>798</v>
      </c>
      <c r="E154" s="1" t="s">
        <v>9</v>
      </c>
      <c r="F154" s="1" t="s">
        <v>607</v>
      </c>
      <c r="H154" s="1" t="s">
        <v>799</v>
      </c>
      <c r="I154" s="1">
        <v>3</v>
      </c>
      <c r="L154" s="1" t="s">
        <v>800</v>
      </c>
      <c r="M154" s="1" t="s">
        <v>29</v>
      </c>
      <c r="N154" s="6">
        <v>1</v>
      </c>
      <c r="O154" s="6"/>
      <c r="Q154" s="1">
        <v>52.7</v>
      </c>
      <c r="R154" s="1">
        <v>85.61</v>
      </c>
      <c r="S154" s="1">
        <v>14.39</v>
      </c>
      <c r="T154" s="1">
        <v>6.25</v>
      </c>
      <c r="V154" s="1">
        <v>5.32</v>
      </c>
      <c r="Z154" s="1">
        <v>1.28</v>
      </c>
      <c r="AH154" s="1">
        <v>4.9800000000000004</v>
      </c>
      <c r="AW154" s="1">
        <v>2.81</v>
      </c>
      <c r="BB154" s="1">
        <v>5.1803999999999996E-2</v>
      </c>
      <c r="BC154" s="1">
        <v>1.3972690000000003</v>
      </c>
      <c r="BE154" s="1">
        <v>1.2850270000000001</v>
      </c>
      <c r="BG154" s="1">
        <v>0.55977100000000002</v>
      </c>
      <c r="BL154" s="1">
        <v>0.49213799999999996</v>
      </c>
      <c r="CM154" s="1">
        <v>26.664670000000001</v>
      </c>
    </row>
    <row r="155" spans="1:91" x14ac:dyDescent="0.2">
      <c r="A155" s="1" t="s">
        <v>801</v>
      </c>
      <c r="B155" s="1" t="s">
        <v>797</v>
      </c>
      <c r="D155" s="1" t="s">
        <v>802</v>
      </c>
      <c r="E155" s="1" t="s">
        <v>11</v>
      </c>
      <c r="F155" s="1" t="s">
        <v>607</v>
      </c>
      <c r="H155" s="1" t="s">
        <v>803</v>
      </c>
      <c r="I155" s="1">
        <v>3</v>
      </c>
      <c r="L155" s="1" t="s">
        <v>800</v>
      </c>
      <c r="M155" s="1" t="s">
        <v>29</v>
      </c>
      <c r="N155" s="6">
        <v>1</v>
      </c>
      <c r="O155" s="6"/>
      <c r="Q155" s="1">
        <v>56</v>
      </c>
      <c r="R155" s="1">
        <v>85.53</v>
      </c>
      <c r="S155" s="1">
        <v>14.47</v>
      </c>
      <c r="T155" s="1">
        <v>6.25</v>
      </c>
      <c r="V155" s="1">
        <v>5.3</v>
      </c>
      <c r="Z155" s="1">
        <v>1.27</v>
      </c>
      <c r="AH155" s="1">
        <v>5.85</v>
      </c>
      <c r="AW155" s="1">
        <v>2.0499999999999998</v>
      </c>
      <c r="BB155" s="1">
        <v>2.0258000000000002E-2</v>
      </c>
      <c r="BC155" s="1">
        <v>1.3804380000000001</v>
      </c>
      <c r="BE155" s="1">
        <v>1.2024570000000001</v>
      </c>
      <c r="BG155" s="1">
        <v>0.67574900000000004</v>
      </c>
      <c r="BL155" s="1">
        <v>0.28939999999999999</v>
      </c>
      <c r="CM155" s="1">
        <v>7.3941699999999999</v>
      </c>
    </row>
    <row r="156" spans="1:91" x14ac:dyDescent="0.2">
      <c r="A156" s="1" t="s">
        <v>804</v>
      </c>
      <c r="B156" s="1" t="s">
        <v>797</v>
      </c>
      <c r="D156" s="1" t="s">
        <v>805</v>
      </c>
      <c r="E156" s="1" t="s">
        <v>9</v>
      </c>
      <c r="F156" s="1" t="s">
        <v>806</v>
      </c>
      <c r="H156" s="1" t="s">
        <v>799</v>
      </c>
      <c r="I156" s="1">
        <v>3</v>
      </c>
      <c r="L156" s="1" t="s">
        <v>800</v>
      </c>
      <c r="M156" s="1" t="s">
        <v>29</v>
      </c>
      <c r="N156" s="6">
        <v>1</v>
      </c>
      <c r="O156" s="6"/>
      <c r="Q156" s="1">
        <v>44.7</v>
      </c>
      <c r="R156" s="1">
        <v>84.73</v>
      </c>
      <c r="S156" s="1">
        <v>15.27</v>
      </c>
      <c r="T156" s="1">
        <v>6.25</v>
      </c>
      <c r="V156" s="1">
        <v>4.26</v>
      </c>
      <c r="Z156" s="1">
        <v>1.45</v>
      </c>
      <c r="AH156" s="1">
        <v>3.65</v>
      </c>
      <c r="AW156" s="1">
        <v>5.91</v>
      </c>
      <c r="BB156" s="1">
        <v>2.4431999999999999E-2</v>
      </c>
      <c r="BC156" s="1">
        <v>0.95742899999999986</v>
      </c>
      <c r="BE156" s="1">
        <v>0.84443100000000004</v>
      </c>
      <c r="BG156" s="1">
        <v>0.59705699999999995</v>
      </c>
      <c r="BL156" s="1">
        <v>0.68104199999999993</v>
      </c>
      <c r="CM156" s="1">
        <v>301.06331999999998</v>
      </c>
    </row>
    <row r="157" spans="1:91" x14ac:dyDescent="0.2">
      <c r="A157" s="1" t="s">
        <v>807</v>
      </c>
      <c r="B157" s="1" t="s">
        <v>797</v>
      </c>
      <c r="D157" s="1" t="s">
        <v>808</v>
      </c>
      <c r="E157" s="1" t="s">
        <v>11</v>
      </c>
      <c r="F157" s="1" t="s">
        <v>806</v>
      </c>
      <c r="H157" s="1" t="s">
        <v>803</v>
      </c>
      <c r="I157" s="1">
        <v>3</v>
      </c>
      <c r="L157" s="1" t="s">
        <v>800</v>
      </c>
      <c r="M157" s="1" t="s">
        <v>29</v>
      </c>
      <c r="N157" s="6">
        <v>1</v>
      </c>
      <c r="O157" s="6"/>
      <c r="Q157" s="1">
        <v>41.5</v>
      </c>
      <c r="R157" s="1">
        <v>85.71</v>
      </c>
      <c r="S157" s="1">
        <v>14.29</v>
      </c>
      <c r="T157" s="1">
        <v>6.25</v>
      </c>
      <c r="V157" s="1">
        <v>4.2</v>
      </c>
      <c r="Z157" s="1">
        <v>1.43</v>
      </c>
      <c r="AH157" s="1">
        <v>2.96</v>
      </c>
      <c r="AW157" s="1">
        <v>5.7</v>
      </c>
      <c r="BB157" s="1">
        <v>1.5718999999999997E-2</v>
      </c>
      <c r="BC157" s="1">
        <v>0.71164200000000011</v>
      </c>
      <c r="BE157" s="1">
        <v>0.56731299999999996</v>
      </c>
      <c r="BG157" s="1">
        <v>0.58588999999999991</v>
      </c>
      <c r="BL157" s="1">
        <v>0.25150399999999995</v>
      </c>
      <c r="CM157" s="1">
        <v>14.604379999999999</v>
      </c>
    </row>
    <row r="158" spans="1:91" x14ac:dyDescent="0.2">
      <c r="A158" s="1" t="s">
        <v>809</v>
      </c>
      <c r="B158" s="1" t="s">
        <v>797</v>
      </c>
      <c r="C158" s="1" t="s">
        <v>810</v>
      </c>
      <c r="D158" s="1" t="s">
        <v>467</v>
      </c>
      <c r="E158" s="1" t="s">
        <v>9</v>
      </c>
      <c r="F158" s="1" t="s">
        <v>811</v>
      </c>
      <c r="H158" s="1" t="s">
        <v>799</v>
      </c>
      <c r="I158" s="1">
        <v>3</v>
      </c>
      <c r="L158" s="1" t="s">
        <v>800</v>
      </c>
      <c r="M158" s="1" t="s">
        <v>29</v>
      </c>
      <c r="N158" s="6">
        <v>1</v>
      </c>
      <c r="O158" s="6"/>
      <c r="Q158" s="1">
        <v>112.5</v>
      </c>
      <c r="R158" s="1">
        <v>73.349999999999994</v>
      </c>
      <c r="S158" s="1">
        <v>26.65</v>
      </c>
      <c r="T158" s="1">
        <v>6.25</v>
      </c>
      <c r="V158" s="1">
        <v>2.69</v>
      </c>
      <c r="Z158" s="1">
        <v>2.77</v>
      </c>
      <c r="AH158" s="1">
        <v>19.190000000000001</v>
      </c>
      <c r="AW158" s="1">
        <v>2</v>
      </c>
      <c r="BB158" s="1">
        <v>8.7944999999999995E-2</v>
      </c>
      <c r="BC158" s="1">
        <v>0.91142999999999985</v>
      </c>
      <c r="BE158" s="1">
        <v>0.76218999999999992</v>
      </c>
      <c r="BG158" s="1">
        <v>0.8528</v>
      </c>
      <c r="BL158" s="1">
        <v>0.90876499999999993</v>
      </c>
      <c r="CM158" s="1">
        <v>63.027249999999995</v>
      </c>
    </row>
    <row r="159" spans="1:91" x14ac:dyDescent="0.2">
      <c r="A159" s="1" t="s">
        <v>812</v>
      </c>
      <c r="B159" s="1" t="s">
        <v>797</v>
      </c>
      <c r="C159" s="1" t="s">
        <v>810</v>
      </c>
      <c r="D159" s="1" t="s">
        <v>470</v>
      </c>
      <c r="E159" s="1" t="s">
        <v>11</v>
      </c>
      <c r="F159" s="1" t="s">
        <v>811</v>
      </c>
      <c r="H159" s="1" t="s">
        <v>803</v>
      </c>
      <c r="I159" s="1">
        <v>3</v>
      </c>
      <c r="L159" s="1" t="s">
        <v>800</v>
      </c>
      <c r="M159" s="1" t="s">
        <v>29</v>
      </c>
      <c r="N159" s="6">
        <v>1</v>
      </c>
      <c r="O159" s="6"/>
      <c r="Q159" s="1">
        <v>50.8</v>
      </c>
      <c r="R159" s="1">
        <v>89.38</v>
      </c>
      <c r="S159" s="1">
        <v>10.62</v>
      </c>
      <c r="T159" s="1">
        <v>6.25</v>
      </c>
      <c r="V159" s="1">
        <v>1.0900000000000001</v>
      </c>
      <c r="Z159" s="1">
        <v>1.96</v>
      </c>
      <c r="AH159" s="1">
        <v>7.19</v>
      </c>
      <c r="AW159" s="1">
        <v>0.38</v>
      </c>
      <c r="BB159" s="1">
        <v>2.0177999999999998E-2</v>
      </c>
      <c r="BC159" s="1">
        <v>0.21877199999999999</v>
      </c>
      <c r="BE159" s="1">
        <v>0.26656199999999997</v>
      </c>
      <c r="BG159" s="1">
        <v>0.37700999999999996</v>
      </c>
      <c r="BL159" s="1">
        <v>0.21027599999999999</v>
      </c>
      <c r="CM159" s="1">
        <v>20.093039999999995</v>
      </c>
    </row>
    <row r="160" spans="1:91" x14ac:dyDescent="0.2">
      <c r="A160" s="1" t="s">
        <v>813</v>
      </c>
      <c r="B160" s="1" t="s">
        <v>814</v>
      </c>
      <c r="D160" s="1" t="s">
        <v>815</v>
      </c>
      <c r="E160" s="1" t="s">
        <v>7</v>
      </c>
      <c r="F160" s="1" t="s">
        <v>816</v>
      </c>
      <c r="G160" s="1" t="s">
        <v>817</v>
      </c>
      <c r="H160" s="1" t="s">
        <v>818</v>
      </c>
      <c r="I160" s="1">
        <v>4</v>
      </c>
      <c r="L160" s="1" t="s">
        <v>819</v>
      </c>
      <c r="M160" s="1" t="s">
        <v>29</v>
      </c>
      <c r="N160" s="6">
        <v>1</v>
      </c>
      <c r="O160" s="6"/>
      <c r="R160" s="1">
        <v>87.48</v>
      </c>
      <c r="S160" s="1">
        <v>12.519999999999996</v>
      </c>
      <c r="AX160" s="1">
        <v>199.06799999999993</v>
      </c>
      <c r="BB160" s="1">
        <v>3.7559999999999982E-2</v>
      </c>
      <c r="BC160" s="1">
        <v>3.1012039999999992</v>
      </c>
      <c r="BD160" s="1">
        <v>256.66000000000003</v>
      </c>
      <c r="BE160" s="1">
        <v>25.04</v>
      </c>
      <c r="BF160" s="1">
        <v>2.0532799999999991</v>
      </c>
      <c r="BG160" s="1">
        <v>92.647999999999996</v>
      </c>
      <c r="BI160" s="1">
        <v>52.583999999999982</v>
      </c>
      <c r="BL160" s="1">
        <v>0.37559999999999988</v>
      </c>
      <c r="BM160" s="1">
        <v>2587.884</v>
      </c>
    </row>
    <row r="161" spans="1:161" x14ac:dyDescent="0.2">
      <c r="A161" s="1" t="s">
        <v>820</v>
      </c>
      <c r="B161" s="1" t="s">
        <v>814</v>
      </c>
      <c r="D161" s="1" t="s">
        <v>821</v>
      </c>
      <c r="E161" s="1" t="s">
        <v>7</v>
      </c>
      <c r="F161" s="1" t="s">
        <v>822</v>
      </c>
      <c r="G161" s="1" t="s">
        <v>817</v>
      </c>
      <c r="H161" s="1" t="s">
        <v>818</v>
      </c>
      <c r="I161" s="1">
        <v>4</v>
      </c>
      <c r="L161" s="1" t="s">
        <v>819</v>
      </c>
      <c r="M161" s="1" t="s">
        <v>29</v>
      </c>
      <c r="N161" s="6">
        <v>1</v>
      </c>
      <c r="O161" s="6"/>
      <c r="R161" s="1">
        <v>86.72</v>
      </c>
      <c r="S161" s="1">
        <v>13.280000000000001</v>
      </c>
      <c r="AX161" s="1">
        <v>169.04299999999992</v>
      </c>
      <c r="BB161" s="1">
        <v>3.9400999999999978E-2</v>
      </c>
      <c r="BC161" s="1">
        <v>3.0186249999999983</v>
      </c>
      <c r="BD161" s="1">
        <v>269.45199999999988</v>
      </c>
      <c r="BE161" s="1">
        <v>24.14899999999999</v>
      </c>
      <c r="BF161" s="1">
        <v>1.919209999999999</v>
      </c>
      <c r="BG161" s="1">
        <v>1177.9359999999999</v>
      </c>
      <c r="BI161" s="1">
        <v>54.652999999999977</v>
      </c>
      <c r="BL161" s="1">
        <v>0.3711319999999998</v>
      </c>
      <c r="BM161" s="1">
        <v>3091.0719999999988</v>
      </c>
    </row>
    <row r="162" spans="1:161" x14ac:dyDescent="0.2">
      <c r="A162" s="1" t="s">
        <v>823</v>
      </c>
      <c r="B162" s="1" t="s">
        <v>814</v>
      </c>
      <c r="D162" s="1" t="s">
        <v>824</v>
      </c>
      <c r="E162" s="1" t="s">
        <v>7</v>
      </c>
      <c r="F162" s="1" t="s">
        <v>825</v>
      </c>
      <c r="G162" s="1" t="s">
        <v>817</v>
      </c>
      <c r="H162" s="1" t="s">
        <v>818</v>
      </c>
      <c r="I162" s="1">
        <v>4</v>
      </c>
      <c r="L162" s="1" t="s">
        <v>819</v>
      </c>
      <c r="M162" s="1" t="s">
        <v>29</v>
      </c>
      <c r="N162" s="6">
        <v>1</v>
      </c>
      <c r="O162" s="6"/>
      <c r="R162" s="1">
        <v>89.05</v>
      </c>
      <c r="S162" s="1">
        <v>10.950000000000003</v>
      </c>
      <c r="AX162" s="1">
        <v>163.155</v>
      </c>
      <c r="BC162" s="1">
        <v>1.4585400000000004</v>
      </c>
      <c r="BD162" s="1">
        <v>284.7</v>
      </c>
      <c r="BE162" s="1">
        <v>28.47</v>
      </c>
      <c r="BF162" s="1">
        <v>0.57487500000000014</v>
      </c>
      <c r="BG162" s="1">
        <v>395.29500000000002</v>
      </c>
      <c r="BI162" s="1">
        <v>48.18</v>
      </c>
      <c r="BL162" s="1">
        <v>0.22119000000000008</v>
      </c>
      <c r="BM162" s="1">
        <v>569.4</v>
      </c>
    </row>
    <row r="163" spans="1:161" x14ac:dyDescent="0.2">
      <c r="A163" s="1" t="s">
        <v>826</v>
      </c>
      <c r="B163" s="1" t="s">
        <v>814</v>
      </c>
      <c r="D163" s="1" t="s">
        <v>827</v>
      </c>
      <c r="E163" s="1" t="s">
        <v>7</v>
      </c>
      <c r="F163" s="1" t="s">
        <v>448</v>
      </c>
      <c r="G163" s="1" t="s">
        <v>817</v>
      </c>
      <c r="H163" s="1" t="s">
        <v>818</v>
      </c>
      <c r="I163" s="1">
        <v>4</v>
      </c>
      <c r="L163" s="1" t="s">
        <v>819</v>
      </c>
      <c r="M163" s="1" t="s">
        <v>29</v>
      </c>
      <c r="N163" s="6">
        <v>1</v>
      </c>
      <c r="O163" s="6"/>
      <c r="R163" s="1">
        <v>91.25</v>
      </c>
      <c r="S163" s="1">
        <v>8.75</v>
      </c>
      <c r="AX163" s="1">
        <v>41.125</v>
      </c>
      <c r="BC163" s="1">
        <v>0.66937500000000005</v>
      </c>
      <c r="BD163" s="1">
        <v>161</v>
      </c>
      <c r="BE163" s="1">
        <v>16.625</v>
      </c>
      <c r="BF163" s="1">
        <v>0.21612500000000001</v>
      </c>
      <c r="BG163" s="1">
        <v>332.5</v>
      </c>
      <c r="BI163" s="1">
        <v>28</v>
      </c>
      <c r="BL163" s="1">
        <v>0.12687499999999999</v>
      </c>
      <c r="BM163" s="1">
        <v>118.125</v>
      </c>
    </row>
    <row r="164" spans="1:161" x14ac:dyDescent="0.2">
      <c r="A164" s="1" t="s">
        <v>828</v>
      </c>
      <c r="B164" s="1" t="s">
        <v>814</v>
      </c>
      <c r="D164" s="1" t="s">
        <v>815</v>
      </c>
      <c r="E164" s="1" t="s">
        <v>7</v>
      </c>
      <c r="F164" s="1" t="s">
        <v>829</v>
      </c>
      <c r="G164" s="1" t="s">
        <v>817</v>
      </c>
      <c r="H164" s="1" t="s">
        <v>818</v>
      </c>
      <c r="I164" s="1">
        <v>4</v>
      </c>
      <c r="L164" s="1" t="s">
        <v>819</v>
      </c>
      <c r="M164" s="1" t="s">
        <v>29</v>
      </c>
      <c r="N164" s="6">
        <v>1</v>
      </c>
      <c r="O164" s="6"/>
      <c r="R164" s="1">
        <v>87.29</v>
      </c>
      <c r="S164" s="1">
        <v>12.709999999999994</v>
      </c>
      <c r="AX164" s="1">
        <v>204.51200000000003</v>
      </c>
      <c r="BB164" s="1">
        <v>2.5232000000000001E-2</v>
      </c>
      <c r="BC164" s="1">
        <v>2.4674239999999998</v>
      </c>
      <c r="BD164" s="1">
        <v>228.41600000000003</v>
      </c>
      <c r="BE164" s="1">
        <v>38.512</v>
      </c>
      <c r="BF164" s="1">
        <v>2.4435199999999999</v>
      </c>
      <c r="BG164" s="1">
        <v>122.01600000000001</v>
      </c>
      <c r="BI164" s="1">
        <v>51.792000000000009</v>
      </c>
      <c r="BL164" s="1">
        <v>0.48073600000000005</v>
      </c>
      <c r="BM164" s="1">
        <v>1144.7359999999999</v>
      </c>
    </row>
    <row r="165" spans="1:161" x14ac:dyDescent="0.2">
      <c r="A165" s="1" t="s">
        <v>830</v>
      </c>
      <c r="B165" s="1" t="s">
        <v>814</v>
      </c>
      <c r="D165" s="1" t="s">
        <v>815</v>
      </c>
      <c r="E165" s="1" t="s">
        <v>7</v>
      </c>
      <c r="F165" s="1" t="s">
        <v>831</v>
      </c>
      <c r="G165" s="1" t="s">
        <v>817</v>
      </c>
      <c r="H165" s="1" t="s">
        <v>818</v>
      </c>
      <c r="I165" s="1">
        <v>4</v>
      </c>
      <c r="L165" s="1" t="s">
        <v>819</v>
      </c>
      <c r="M165" s="1" t="s">
        <v>29</v>
      </c>
      <c r="N165" s="6">
        <v>1</v>
      </c>
      <c r="O165" s="6"/>
      <c r="R165" s="1">
        <v>87.72</v>
      </c>
      <c r="S165" s="1">
        <v>12.280000000000001</v>
      </c>
      <c r="AX165" s="1">
        <v>224.72400000000005</v>
      </c>
      <c r="BB165" s="1">
        <v>3.8068000000000005E-2</v>
      </c>
      <c r="BC165" s="1">
        <v>3.1007000000000007</v>
      </c>
      <c r="BD165" s="1">
        <v>240.68800000000005</v>
      </c>
      <c r="BE165" s="1">
        <v>27.016000000000005</v>
      </c>
      <c r="BF165" s="1">
        <v>2.2521520000000002</v>
      </c>
      <c r="BG165" s="1">
        <v>87.188000000000002</v>
      </c>
      <c r="BI165" s="1">
        <v>46.664000000000001</v>
      </c>
      <c r="BL165" s="1">
        <v>0.36594399999999999</v>
      </c>
      <c r="BM165" s="1">
        <v>2112.16</v>
      </c>
    </row>
    <row r="166" spans="1:161" x14ac:dyDescent="0.2">
      <c r="A166" s="1" t="s">
        <v>832</v>
      </c>
      <c r="B166" s="1" t="s">
        <v>814</v>
      </c>
      <c r="D166" s="1" t="s">
        <v>815</v>
      </c>
      <c r="E166" s="1" t="s">
        <v>7</v>
      </c>
      <c r="F166" s="1" t="s">
        <v>833</v>
      </c>
      <c r="G166" s="1" t="s">
        <v>817</v>
      </c>
      <c r="H166" s="1" t="s">
        <v>818</v>
      </c>
      <c r="I166" s="1">
        <v>4</v>
      </c>
      <c r="L166" s="1" t="s">
        <v>819</v>
      </c>
      <c r="M166" s="1" t="s">
        <v>29</v>
      </c>
      <c r="N166" s="6">
        <v>1</v>
      </c>
      <c r="O166" s="6"/>
      <c r="R166" s="1">
        <v>87.89</v>
      </c>
      <c r="S166" s="1">
        <v>12.11</v>
      </c>
      <c r="AX166" s="1">
        <v>186.494</v>
      </c>
      <c r="BB166" s="1">
        <v>3.2697000000000004E-2</v>
      </c>
      <c r="BC166" s="1">
        <v>3.0638299999999998</v>
      </c>
      <c r="BD166" s="1">
        <v>245.83299999999997</v>
      </c>
      <c r="BE166" s="1">
        <v>23.009</v>
      </c>
      <c r="BF166" s="1">
        <v>1.941233</v>
      </c>
      <c r="BG166" s="1">
        <v>90.825000000000003</v>
      </c>
      <c r="BI166" s="1">
        <v>53.283999999999992</v>
      </c>
      <c r="BL166" s="1">
        <v>0.38025399999999998</v>
      </c>
      <c r="BM166" s="1">
        <v>2718.6949999999993</v>
      </c>
    </row>
    <row r="167" spans="1:161" x14ac:dyDescent="0.2">
      <c r="A167" s="1" t="s">
        <v>834</v>
      </c>
      <c r="B167" s="1" t="s">
        <v>814</v>
      </c>
      <c r="D167" s="1" t="s">
        <v>835</v>
      </c>
      <c r="E167" s="1" t="s">
        <v>9</v>
      </c>
      <c r="F167" s="1" t="s">
        <v>836</v>
      </c>
      <c r="G167" s="1" t="s">
        <v>817</v>
      </c>
      <c r="H167" s="1" t="s">
        <v>818</v>
      </c>
      <c r="I167" s="1">
        <v>4</v>
      </c>
      <c r="L167" s="1" t="s">
        <v>819</v>
      </c>
      <c r="M167" s="1" t="s">
        <v>29</v>
      </c>
      <c r="N167" s="6">
        <v>1</v>
      </c>
      <c r="O167" s="6"/>
      <c r="R167" s="1">
        <v>86.88</v>
      </c>
      <c r="S167" s="1">
        <v>13.120000000000005</v>
      </c>
      <c r="AX167" s="1">
        <v>228.28800000000007</v>
      </c>
      <c r="BB167" s="1">
        <v>4.0672000000000014E-2</v>
      </c>
      <c r="BC167" s="1">
        <v>3.2603200000000014</v>
      </c>
      <c r="BD167" s="1">
        <v>271.58400000000006</v>
      </c>
      <c r="BE167" s="1">
        <v>27.552000000000007</v>
      </c>
      <c r="BF167" s="1">
        <v>2.248768000000001</v>
      </c>
      <c r="BG167" s="1">
        <v>78.72</v>
      </c>
      <c r="BI167" s="1">
        <v>52.48</v>
      </c>
      <c r="BL167" s="1">
        <v>0.39228800000000014</v>
      </c>
      <c r="BM167" s="1">
        <v>2200.2240000000006</v>
      </c>
    </row>
    <row r="168" spans="1:161" x14ac:dyDescent="0.2">
      <c r="A168" s="1" t="s">
        <v>837</v>
      </c>
      <c r="B168" s="1" t="s">
        <v>814</v>
      </c>
      <c r="D168" s="1" t="s">
        <v>815</v>
      </c>
      <c r="E168" s="1" t="s">
        <v>7</v>
      </c>
      <c r="F168" s="1" t="s">
        <v>838</v>
      </c>
      <c r="G168" s="1" t="s">
        <v>817</v>
      </c>
      <c r="H168" s="1" t="s">
        <v>818</v>
      </c>
      <c r="I168" s="1">
        <v>4</v>
      </c>
      <c r="L168" s="1" t="s">
        <v>819</v>
      </c>
      <c r="M168" s="1" t="s">
        <v>29</v>
      </c>
      <c r="N168" s="6">
        <v>1</v>
      </c>
      <c r="O168" s="6"/>
      <c r="R168" s="1">
        <v>87.64</v>
      </c>
      <c r="S168" s="1">
        <v>12.36</v>
      </c>
      <c r="AX168" s="1">
        <v>187.87199999999999</v>
      </c>
      <c r="BB168" s="1">
        <v>3.7079999999999995E-2</v>
      </c>
      <c r="BC168" s="1">
        <v>3.0442679999999998</v>
      </c>
      <c r="BD168" s="1">
        <v>255.85199999999998</v>
      </c>
      <c r="BE168" s="1">
        <v>22.247999999999998</v>
      </c>
      <c r="BF168" s="1">
        <v>1.9022040000000002</v>
      </c>
      <c r="BG168" s="1">
        <v>81.575999999999993</v>
      </c>
      <c r="BI168" s="1">
        <v>54.384</v>
      </c>
      <c r="BL168" s="1">
        <v>0.36832799999999999</v>
      </c>
      <c r="BM168" s="1">
        <v>2790.8879999999999</v>
      </c>
    </row>
    <row r="169" spans="1:161" x14ac:dyDescent="0.2">
      <c r="A169" s="1" t="s">
        <v>839</v>
      </c>
      <c r="B169" s="1" t="s">
        <v>840</v>
      </c>
      <c r="D169" s="1" t="s">
        <v>467</v>
      </c>
      <c r="E169" s="1" t="s">
        <v>9</v>
      </c>
      <c r="F169" s="1" t="s">
        <v>841</v>
      </c>
      <c r="G169" s="1" t="s">
        <v>842</v>
      </c>
      <c r="H169" s="1" t="s">
        <v>843</v>
      </c>
      <c r="I169" s="1">
        <v>3</v>
      </c>
      <c r="L169" s="1" t="s">
        <v>844</v>
      </c>
      <c r="M169" s="1" t="s">
        <v>29</v>
      </c>
      <c r="N169" s="6">
        <v>1</v>
      </c>
      <c r="O169" s="6"/>
      <c r="S169" s="1">
        <v>91.8</v>
      </c>
      <c r="T169" s="1">
        <v>6.25</v>
      </c>
      <c r="V169" s="1">
        <v>31.670999999999999</v>
      </c>
      <c r="AO169" s="1">
        <v>6.7931999999999997</v>
      </c>
      <c r="AW169" s="1">
        <v>15.973199999999997</v>
      </c>
    </row>
    <row r="170" spans="1:161" x14ac:dyDescent="0.2">
      <c r="A170" s="1" t="s">
        <v>845</v>
      </c>
      <c r="B170" s="1" t="s">
        <v>846</v>
      </c>
      <c r="D170" s="1" t="s">
        <v>824</v>
      </c>
      <c r="E170" s="1" t="s">
        <v>7</v>
      </c>
      <c r="F170" s="1" t="s">
        <v>847</v>
      </c>
      <c r="I170" s="1">
        <v>3</v>
      </c>
      <c r="L170" s="1" t="s">
        <v>848</v>
      </c>
      <c r="M170" s="1" t="s">
        <v>29</v>
      </c>
      <c r="N170" s="6">
        <v>1</v>
      </c>
      <c r="O170" s="6"/>
      <c r="EU170" s="1">
        <v>43300</v>
      </c>
      <c r="FC170" s="1">
        <v>12400</v>
      </c>
    </row>
    <row r="171" spans="1:161" x14ac:dyDescent="0.2">
      <c r="A171" s="1" t="s">
        <v>849</v>
      </c>
      <c r="B171" s="1" t="s">
        <v>846</v>
      </c>
      <c r="D171" s="1" t="s">
        <v>821</v>
      </c>
      <c r="E171" s="1" t="s">
        <v>7</v>
      </c>
      <c r="F171" s="1" t="s">
        <v>591</v>
      </c>
      <c r="I171" s="1">
        <v>3</v>
      </c>
      <c r="L171" s="1" t="s">
        <v>848</v>
      </c>
      <c r="M171" s="1" t="s">
        <v>29</v>
      </c>
      <c r="N171" s="6">
        <v>1</v>
      </c>
      <c r="O171" s="6"/>
      <c r="EU171" s="1">
        <v>90500</v>
      </c>
      <c r="FC171" s="1">
        <v>31800</v>
      </c>
      <c r="FE171" s="1">
        <v>23600</v>
      </c>
    </row>
    <row r="172" spans="1:161" x14ac:dyDescent="0.2">
      <c r="A172" s="1" t="s">
        <v>850</v>
      </c>
      <c r="B172" s="1" t="s">
        <v>846</v>
      </c>
      <c r="D172" s="1" t="s">
        <v>851</v>
      </c>
      <c r="E172" s="1" t="s">
        <v>7</v>
      </c>
      <c r="F172" s="1" t="s">
        <v>852</v>
      </c>
      <c r="I172" s="1">
        <v>3</v>
      </c>
      <c r="L172" s="1" t="s">
        <v>848</v>
      </c>
      <c r="M172" s="1" t="s">
        <v>29</v>
      </c>
      <c r="N172" s="6">
        <v>1</v>
      </c>
      <c r="O172" s="6"/>
      <c r="EU172" s="1">
        <v>5000</v>
      </c>
      <c r="FC172" s="1">
        <v>27900</v>
      </c>
    </row>
    <row r="173" spans="1:161" x14ac:dyDescent="0.2">
      <c r="A173" s="1" t="s">
        <v>853</v>
      </c>
      <c r="B173" s="1" t="s">
        <v>854</v>
      </c>
      <c r="C173" s="1" t="s">
        <v>855</v>
      </c>
      <c r="D173" s="1" t="s">
        <v>856</v>
      </c>
      <c r="E173" s="1" t="s">
        <v>7</v>
      </c>
      <c r="F173" s="1" t="s">
        <v>857</v>
      </c>
      <c r="I173" s="1">
        <v>2</v>
      </c>
      <c r="L173" s="1" t="s">
        <v>858</v>
      </c>
      <c r="M173" s="1" t="s">
        <v>29</v>
      </c>
      <c r="N173" s="6">
        <v>1</v>
      </c>
      <c r="O173" s="6"/>
      <c r="Q173" s="1">
        <v>49</v>
      </c>
      <c r="R173" s="1">
        <v>85</v>
      </c>
      <c r="S173" s="1">
        <v>15</v>
      </c>
      <c r="T173" s="1">
        <v>6.25</v>
      </c>
      <c r="V173" s="1">
        <v>4</v>
      </c>
      <c r="AH173" s="1">
        <v>7.86</v>
      </c>
      <c r="AL173" s="1">
        <v>2.87</v>
      </c>
      <c r="AW173" s="1">
        <v>3.42</v>
      </c>
      <c r="AX173" s="1">
        <v>252.9</v>
      </c>
      <c r="BB173" s="1">
        <v>0.45</v>
      </c>
      <c r="BC173" s="1">
        <v>3.75</v>
      </c>
      <c r="BE173" s="1">
        <v>120.9</v>
      </c>
      <c r="BF173" s="1">
        <v>12.3</v>
      </c>
      <c r="BG173" s="1">
        <v>52.05</v>
      </c>
      <c r="BI173" s="1">
        <v>73.05</v>
      </c>
      <c r="BL173" s="1">
        <v>8.4</v>
      </c>
    </row>
    <row r="174" spans="1:161" x14ac:dyDescent="0.2">
      <c r="A174" s="1" t="s">
        <v>859</v>
      </c>
      <c r="B174" s="1" t="s">
        <v>854</v>
      </c>
      <c r="C174" s="1" t="s">
        <v>860</v>
      </c>
      <c r="D174" s="1" t="s">
        <v>861</v>
      </c>
      <c r="E174" s="1" t="s">
        <v>7</v>
      </c>
      <c r="F174" s="1" t="s">
        <v>355</v>
      </c>
      <c r="I174" s="1">
        <v>2</v>
      </c>
      <c r="L174" s="1" t="s">
        <v>858</v>
      </c>
      <c r="M174" s="1" t="s">
        <v>29</v>
      </c>
      <c r="N174" s="6">
        <v>1</v>
      </c>
      <c r="O174" s="6"/>
      <c r="Q174" s="1">
        <v>50</v>
      </c>
      <c r="R174" s="1">
        <v>85</v>
      </c>
      <c r="S174" s="1">
        <v>15</v>
      </c>
      <c r="T174" s="1">
        <v>6.25</v>
      </c>
      <c r="V174" s="1">
        <v>3</v>
      </c>
      <c r="AH174" s="1">
        <v>8.27</v>
      </c>
      <c r="AL174" s="1">
        <v>1.63</v>
      </c>
      <c r="AW174" s="1">
        <v>2.84</v>
      </c>
      <c r="AX174" s="1">
        <v>384.9</v>
      </c>
      <c r="BB174" s="1">
        <v>0.6</v>
      </c>
      <c r="BC174" s="1">
        <v>3.15</v>
      </c>
      <c r="BE174" s="1">
        <v>144.15</v>
      </c>
      <c r="BF174" s="1">
        <v>2.7</v>
      </c>
      <c r="BG174" s="1">
        <v>139.94999999999999</v>
      </c>
      <c r="BI174" s="1">
        <v>122.1</v>
      </c>
      <c r="BL174" s="1">
        <v>1.05</v>
      </c>
    </row>
    <row r="175" spans="1:161" x14ac:dyDescent="0.2">
      <c r="A175" s="1" t="s">
        <v>862</v>
      </c>
      <c r="B175" s="1" t="s">
        <v>854</v>
      </c>
      <c r="C175" s="1" t="s">
        <v>863</v>
      </c>
      <c r="D175" s="1" t="s">
        <v>864</v>
      </c>
      <c r="E175" s="1" t="s">
        <v>7</v>
      </c>
      <c r="F175" s="1" t="s">
        <v>865</v>
      </c>
      <c r="I175" s="1">
        <v>2</v>
      </c>
      <c r="L175" s="1" t="s">
        <v>858</v>
      </c>
      <c r="M175" s="1" t="s">
        <v>29</v>
      </c>
      <c r="N175" s="6">
        <v>1</v>
      </c>
      <c r="O175" s="6"/>
      <c r="Q175" s="1">
        <v>62</v>
      </c>
      <c r="R175" s="1">
        <v>85</v>
      </c>
      <c r="S175" s="1">
        <v>15</v>
      </c>
      <c r="T175" s="1">
        <v>6.25</v>
      </c>
      <c r="V175" s="1">
        <v>2</v>
      </c>
      <c r="AH175" s="1">
        <v>8.2799999999999994</v>
      </c>
      <c r="AL175" s="1">
        <v>2.0699999999999998</v>
      </c>
      <c r="AW175" s="1">
        <v>2.27</v>
      </c>
      <c r="AX175" s="1">
        <v>105.75</v>
      </c>
      <c r="BB175" s="1">
        <v>0.45</v>
      </c>
      <c r="BC175" s="1">
        <v>2.85</v>
      </c>
      <c r="BE175" s="1">
        <v>64.2</v>
      </c>
      <c r="BF175" s="1">
        <v>1.2</v>
      </c>
      <c r="BG175" s="1">
        <v>17.25</v>
      </c>
      <c r="BI175" s="1">
        <v>33.450000000000003</v>
      </c>
      <c r="BL175" s="1">
        <v>0.45</v>
      </c>
    </row>
    <row r="176" spans="1:161" x14ac:dyDescent="0.2">
      <c r="A176" s="1" t="s">
        <v>866</v>
      </c>
      <c r="B176" s="1" t="s">
        <v>854</v>
      </c>
      <c r="C176" s="1" t="s">
        <v>867</v>
      </c>
      <c r="D176" s="1" t="s">
        <v>868</v>
      </c>
      <c r="E176" s="1" t="s">
        <v>7</v>
      </c>
      <c r="F176" s="1" t="s">
        <v>869</v>
      </c>
      <c r="I176" s="1">
        <v>2</v>
      </c>
      <c r="L176" s="1" t="s">
        <v>858</v>
      </c>
      <c r="M176" s="1" t="s">
        <v>29</v>
      </c>
      <c r="N176" s="6">
        <v>1</v>
      </c>
      <c r="O176" s="6"/>
      <c r="Q176" s="1">
        <v>39</v>
      </c>
      <c r="R176" s="1">
        <v>88</v>
      </c>
      <c r="S176" s="1">
        <v>12</v>
      </c>
      <c r="T176" s="1">
        <v>6.25</v>
      </c>
      <c r="V176" s="1">
        <v>5</v>
      </c>
      <c r="AH176" s="1">
        <v>3.4</v>
      </c>
      <c r="AL176" s="1">
        <v>2.14</v>
      </c>
      <c r="AW176" s="1">
        <v>3.01</v>
      </c>
      <c r="AX176" s="1">
        <v>384.36</v>
      </c>
      <c r="BB176" s="1">
        <v>0.24</v>
      </c>
      <c r="BC176" s="1">
        <v>2.88</v>
      </c>
      <c r="BE176" s="1">
        <v>44.52</v>
      </c>
      <c r="BF176" s="1">
        <v>1.2</v>
      </c>
      <c r="BG176" s="1">
        <v>3</v>
      </c>
      <c r="BI176" s="1">
        <v>94.08</v>
      </c>
      <c r="BL176" s="1">
        <v>0.6</v>
      </c>
    </row>
    <row r="177" spans="1:163" x14ac:dyDescent="0.2">
      <c r="A177" s="1" t="s">
        <v>870</v>
      </c>
      <c r="B177" s="1" t="s">
        <v>854</v>
      </c>
      <c r="C177" s="1" t="s">
        <v>871</v>
      </c>
      <c r="D177" s="1" t="s">
        <v>872</v>
      </c>
      <c r="E177" s="1" t="s">
        <v>7</v>
      </c>
      <c r="F177" s="1" t="s">
        <v>873</v>
      </c>
      <c r="I177" s="1">
        <v>2</v>
      </c>
      <c r="L177" s="1" t="s">
        <v>858</v>
      </c>
      <c r="M177" s="1" t="s">
        <v>29</v>
      </c>
      <c r="N177" s="6">
        <v>1</v>
      </c>
      <c r="O177" s="6"/>
      <c r="Q177" s="1">
        <v>43</v>
      </c>
      <c r="R177" s="1">
        <v>85</v>
      </c>
      <c r="S177" s="1">
        <v>15</v>
      </c>
      <c r="T177" s="1">
        <v>6.25</v>
      </c>
      <c r="V177" s="1">
        <v>4</v>
      </c>
      <c r="AH177" s="1">
        <v>5.55</v>
      </c>
      <c r="AL177" s="1">
        <v>2.42</v>
      </c>
      <c r="AW177" s="1">
        <v>2.73</v>
      </c>
      <c r="AX177" s="1">
        <v>446.1</v>
      </c>
      <c r="BB177" s="1">
        <v>0.45</v>
      </c>
      <c r="BC177" s="1">
        <v>3</v>
      </c>
      <c r="BE177" s="1">
        <v>153.30000000000001</v>
      </c>
      <c r="BF177" s="1">
        <v>0.6</v>
      </c>
      <c r="BG177" s="1">
        <v>47.55</v>
      </c>
      <c r="BI177" s="1">
        <v>65.099999999999994</v>
      </c>
      <c r="BL177" s="1">
        <v>1.65</v>
      </c>
    </row>
    <row r="178" spans="1:163" x14ac:dyDescent="0.2">
      <c r="A178" s="1" t="s">
        <v>874</v>
      </c>
      <c r="B178" s="1" t="s">
        <v>854</v>
      </c>
      <c r="C178" s="1" t="s">
        <v>875</v>
      </c>
      <c r="D178" s="1" t="s">
        <v>876</v>
      </c>
      <c r="E178" s="1" t="s">
        <v>7</v>
      </c>
      <c r="F178" s="1" t="s">
        <v>877</v>
      </c>
      <c r="I178" s="1">
        <v>2</v>
      </c>
      <c r="L178" s="1" t="s">
        <v>858</v>
      </c>
      <c r="M178" s="1" t="s">
        <v>29</v>
      </c>
      <c r="N178" s="6">
        <v>1</v>
      </c>
      <c r="O178" s="6"/>
      <c r="Q178" s="1">
        <v>36</v>
      </c>
      <c r="R178" s="1">
        <v>83</v>
      </c>
      <c r="S178" s="1">
        <v>17</v>
      </c>
      <c r="T178" s="1">
        <v>6.25</v>
      </c>
      <c r="V178" s="1">
        <v>5</v>
      </c>
      <c r="AH178" s="1">
        <v>2.73</v>
      </c>
      <c r="AL178" s="1">
        <v>1.57</v>
      </c>
      <c r="AW178" s="1">
        <v>2.62</v>
      </c>
      <c r="AX178" s="1">
        <v>27.2</v>
      </c>
      <c r="BB178" s="1">
        <v>0.17</v>
      </c>
      <c r="BC178" s="1">
        <v>2.5499999999999998</v>
      </c>
      <c r="BE178" s="1">
        <v>173.06</v>
      </c>
      <c r="BF178" s="1">
        <v>5.27</v>
      </c>
      <c r="BG178" s="1">
        <v>56.44</v>
      </c>
      <c r="BI178" s="1">
        <v>49.3</v>
      </c>
      <c r="BL178" s="1">
        <v>3.4</v>
      </c>
    </row>
    <row r="179" spans="1:163" x14ac:dyDescent="0.2">
      <c r="A179" s="1" t="s">
        <v>878</v>
      </c>
      <c r="B179" s="1" t="s">
        <v>854</v>
      </c>
      <c r="C179" s="1" t="s">
        <v>879</v>
      </c>
      <c r="D179" s="1" t="s">
        <v>880</v>
      </c>
      <c r="E179" s="1" t="s">
        <v>7</v>
      </c>
      <c r="F179" s="1" t="s">
        <v>881</v>
      </c>
      <c r="I179" s="1">
        <v>2</v>
      </c>
      <c r="L179" s="1" t="s">
        <v>858</v>
      </c>
      <c r="M179" s="1" t="s">
        <v>29</v>
      </c>
      <c r="N179" s="6">
        <v>1</v>
      </c>
      <c r="O179" s="6"/>
      <c r="Q179" s="1">
        <v>41</v>
      </c>
      <c r="R179" s="1">
        <v>91</v>
      </c>
      <c r="S179" s="1">
        <v>9</v>
      </c>
      <c r="T179" s="1">
        <v>6.25</v>
      </c>
      <c r="V179" s="1">
        <v>4</v>
      </c>
      <c r="AH179" s="1">
        <v>5.29</v>
      </c>
      <c r="AL179" s="1">
        <v>1.24</v>
      </c>
      <c r="AW179" s="1">
        <v>1.74</v>
      </c>
      <c r="AX179" s="1">
        <v>14.58</v>
      </c>
      <c r="BB179" s="1">
        <v>0.27</v>
      </c>
      <c r="BC179" s="1">
        <v>2.4300000000000002</v>
      </c>
      <c r="BE179" s="1">
        <v>61.29</v>
      </c>
      <c r="BF179" s="1">
        <v>6.6</v>
      </c>
      <c r="BG179" s="1">
        <v>3.24</v>
      </c>
      <c r="BI179" s="1">
        <v>3.42</v>
      </c>
      <c r="BL179" s="1">
        <v>1.26</v>
      </c>
    </row>
    <row r="180" spans="1:163" x14ac:dyDescent="0.2">
      <c r="A180" s="1" t="s">
        <v>882</v>
      </c>
      <c r="B180" s="1" t="s">
        <v>854</v>
      </c>
      <c r="C180" s="1" t="s">
        <v>883</v>
      </c>
      <c r="D180" s="1" t="s">
        <v>884</v>
      </c>
      <c r="E180" s="1" t="s">
        <v>7</v>
      </c>
      <c r="F180" s="1" t="s">
        <v>885</v>
      </c>
      <c r="I180" s="1">
        <v>2</v>
      </c>
      <c r="L180" s="1" t="s">
        <v>858</v>
      </c>
      <c r="M180" s="1" t="s">
        <v>29</v>
      </c>
      <c r="N180" s="6">
        <v>1</v>
      </c>
      <c r="O180" s="6"/>
      <c r="Q180" s="1">
        <v>51</v>
      </c>
      <c r="R180" s="1">
        <v>85</v>
      </c>
      <c r="S180" s="1">
        <v>15</v>
      </c>
      <c r="T180" s="1">
        <v>6.25</v>
      </c>
      <c r="V180" s="1">
        <v>3</v>
      </c>
      <c r="AH180" s="1">
        <v>8.77</v>
      </c>
      <c r="AL180" s="1">
        <v>1.39</v>
      </c>
      <c r="AW180" s="1">
        <v>3.32</v>
      </c>
      <c r="AX180" s="1">
        <v>310.95</v>
      </c>
      <c r="BB180" s="1">
        <v>0.9</v>
      </c>
      <c r="BC180" s="1">
        <v>2.4</v>
      </c>
      <c r="BE180" s="1">
        <v>211.35</v>
      </c>
      <c r="BF180" s="1">
        <v>1.008</v>
      </c>
      <c r="BG180" s="1">
        <v>87.15</v>
      </c>
      <c r="BI180" s="1">
        <v>43.8</v>
      </c>
      <c r="BL180" s="1">
        <v>1.65</v>
      </c>
    </row>
    <row r="181" spans="1:163" x14ac:dyDescent="0.2">
      <c r="A181" s="1" t="s">
        <v>886</v>
      </c>
      <c r="B181" s="1" t="s">
        <v>854</v>
      </c>
      <c r="C181" s="1" t="s">
        <v>887</v>
      </c>
      <c r="D181" s="1" t="s">
        <v>888</v>
      </c>
      <c r="E181" s="1" t="s">
        <v>7</v>
      </c>
      <c r="F181" s="1" t="s">
        <v>889</v>
      </c>
      <c r="I181" s="1">
        <v>2</v>
      </c>
      <c r="L181" s="1" t="s">
        <v>858</v>
      </c>
      <c r="M181" s="1" t="s">
        <v>29</v>
      </c>
      <c r="N181" s="6">
        <v>1</v>
      </c>
      <c r="O181" s="6"/>
      <c r="Q181" s="1">
        <v>25</v>
      </c>
      <c r="R181" s="1">
        <v>88</v>
      </c>
      <c r="S181" s="1">
        <v>12</v>
      </c>
      <c r="T181" s="1">
        <v>6.25</v>
      </c>
      <c r="V181" s="1">
        <v>3</v>
      </c>
      <c r="AH181" s="1">
        <v>2.85</v>
      </c>
      <c r="AL181" s="1">
        <v>1.68</v>
      </c>
      <c r="AW181" s="1">
        <v>2.16</v>
      </c>
      <c r="AX181" s="1">
        <v>176.88</v>
      </c>
      <c r="BB181" s="1">
        <v>0.48</v>
      </c>
      <c r="BC181" s="1">
        <v>4.68</v>
      </c>
      <c r="BE181" s="1">
        <v>62.52</v>
      </c>
      <c r="BF181" s="1">
        <v>0.48</v>
      </c>
      <c r="BG181" s="1">
        <v>175.2</v>
      </c>
      <c r="BI181" s="1">
        <v>56.76</v>
      </c>
      <c r="BL181" s="1">
        <v>0.84</v>
      </c>
    </row>
    <row r="182" spans="1:163" x14ac:dyDescent="0.2">
      <c r="A182" s="1" t="s">
        <v>890</v>
      </c>
      <c r="B182" s="1" t="s">
        <v>854</v>
      </c>
      <c r="C182" s="1" t="s">
        <v>891</v>
      </c>
      <c r="D182" s="1" t="s">
        <v>892</v>
      </c>
      <c r="E182" s="1" t="s">
        <v>7</v>
      </c>
      <c r="F182" s="1" t="s">
        <v>893</v>
      </c>
      <c r="I182" s="1">
        <v>2</v>
      </c>
      <c r="L182" s="1" t="s">
        <v>858</v>
      </c>
      <c r="M182" s="1" t="s">
        <v>29</v>
      </c>
      <c r="N182" s="6">
        <v>1</v>
      </c>
      <c r="O182" s="6"/>
      <c r="Q182" s="1">
        <v>69</v>
      </c>
      <c r="R182" s="1">
        <v>85</v>
      </c>
      <c r="S182" s="1">
        <v>15</v>
      </c>
      <c r="T182" s="1">
        <v>6.25</v>
      </c>
      <c r="V182" s="1">
        <v>6</v>
      </c>
      <c r="AH182" s="1">
        <v>9.81</v>
      </c>
      <c r="AL182" s="1">
        <v>1.97</v>
      </c>
      <c r="AW182" s="1">
        <v>2.25</v>
      </c>
      <c r="AX182" s="1">
        <v>175.05</v>
      </c>
      <c r="BB182" s="1">
        <v>0.75</v>
      </c>
      <c r="BC182" s="1">
        <v>3</v>
      </c>
      <c r="BE182" s="1">
        <v>80.25</v>
      </c>
      <c r="BF182" s="1">
        <v>0.3</v>
      </c>
      <c r="BG182" s="1">
        <v>54.6</v>
      </c>
      <c r="BI182" s="1">
        <v>92.4</v>
      </c>
      <c r="BL182" s="1">
        <v>2.1</v>
      </c>
    </row>
    <row r="183" spans="1:163" x14ac:dyDescent="0.2">
      <c r="A183" s="1" t="s">
        <v>894</v>
      </c>
      <c r="B183" s="1" t="s">
        <v>854</v>
      </c>
      <c r="C183" s="1" t="s">
        <v>895</v>
      </c>
      <c r="D183" s="1" t="s">
        <v>896</v>
      </c>
      <c r="E183" s="1" t="s">
        <v>7</v>
      </c>
      <c r="F183" s="1" t="s">
        <v>897</v>
      </c>
      <c r="I183" s="1">
        <v>2</v>
      </c>
      <c r="L183" s="1" t="s">
        <v>858</v>
      </c>
      <c r="M183" s="1" t="s">
        <v>29</v>
      </c>
      <c r="N183" s="6">
        <v>1</v>
      </c>
      <c r="O183" s="6"/>
      <c r="Q183" s="1">
        <v>84</v>
      </c>
      <c r="R183" s="1">
        <v>88</v>
      </c>
      <c r="S183" s="1">
        <v>12</v>
      </c>
      <c r="T183" s="1">
        <v>6.25</v>
      </c>
      <c r="V183" s="1">
        <v>7</v>
      </c>
      <c r="AH183" s="1">
        <v>9.3699999999999992</v>
      </c>
      <c r="AL183" s="1">
        <v>2.58</v>
      </c>
      <c r="AW183" s="1">
        <v>4.2300000000000004</v>
      </c>
      <c r="AX183" s="1">
        <v>267.60000000000002</v>
      </c>
      <c r="BB183" s="1">
        <v>0.24</v>
      </c>
      <c r="BC183" s="1">
        <v>1.32</v>
      </c>
      <c r="BE183" s="1">
        <v>102.48</v>
      </c>
      <c r="BF183" s="1">
        <v>0.84</v>
      </c>
      <c r="BG183" s="1">
        <v>41.64</v>
      </c>
      <c r="BI183" s="1">
        <v>50.04</v>
      </c>
      <c r="BL183" s="1">
        <v>1.08</v>
      </c>
    </row>
    <row r="184" spans="1:163" x14ac:dyDescent="0.2">
      <c r="A184" s="1" t="s">
        <v>898</v>
      </c>
      <c r="B184" s="1" t="s">
        <v>854</v>
      </c>
      <c r="C184" s="1" t="s">
        <v>899</v>
      </c>
      <c r="D184" s="1" t="s">
        <v>900</v>
      </c>
      <c r="E184" s="1" t="s">
        <v>7</v>
      </c>
      <c r="F184" s="1" t="s">
        <v>901</v>
      </c>
      <c r="I184" s="1">
        <v>2</v>
      </c>
      <c r="L184" s="1" t="s">
        <v>858</v>
      </c>
      <c r="M184" s="1" t="s">
        <v>29</v>
      </c>
      <c r="N184" s="6">
        <v>1</v>
      </c>
      <c r="O184" s="6"/>
      <c r="Q184" s="1">
        <v>55</v>
      </c>
      <c r="R184" s="1">
        <v>85</v>
      </c>
      <c r="S184" s="1">
        <v>15</v>
      </c>
      <c r="T184" s="1">
        <v>6.25</v>
      </c>
      <c r="V184" s="1">
        <v>3</v>
      </c>
      <c r="AH184" s="1">
        <v>9.0299999999999994</v>
      </c>
      <c r="AL184" s="1">
        <v>2.42</v>
      </c>
      <c r="AW184" s="1">
        <v>2.2400000000000002</v>
      </c>
      <c r="AX184" s="1">
        <v>310.05</v>
      </c>
      <c r="BB184" s="1">
        <v>0.9</v>
      </c>
      <c r="BC184" s="1">
        <v>12.75</v>
      </c>
      <c r="BE184" s="1">
        <v>41.55</v>
      </c>
      <c r="BF184" s="1">
        <v>0.45</v>
      </c>
      <c r="BG184" s="1">
        <v>64.650000000000006</v>
      </c>
      <c r="BI184" s="1">
        <v>71.7</v>
      </c>
      <c r="BL184" s="1">
        <v>3.45</v>
      </c>
    </row>
    <row r="185" spans="1:163" x14ac:dyDescent="0.2">
      <c r="A185" s="1" t="s">
        <v>902</v>
      </c>
      <c r="B185" s="1" t="s">
        <v>903</v>
      </c>
      <c r="C185" s="1" t="s">
        <v>904</v>
      </c>
      <c r="D185" s="1" t="s">
        <v>905</v>
      </c>
      <c r="E185" s="1" t="s">
        <v>7</v>
      </c>
      <c r="F185" s="1" t="s">
        <v>462</v>
      </c>
      <c r="G185" s="1" t="s">
        <v>749</v>
      </c>
      <c r="I185" s="1">
        <v>2</v>
      </c>
      <c r="L185" s="1" t="s">
        <v>906</v>
      </c>
      <c r="M185" s="1" t="s">
        <v>29</v>
      </c>
      <c r="N185" s="6">
        <v>1</v>
      </c>
      <c r="O185" s="6"/>
      <c r="S185" s="1">
        <v>13.3</v>
      </c>
      <c r="AX185" s="1">
        <v>44</v>
      </c>
      <c r="BC185" s="1">
        <v>1</v>
      </c>
      <c r="BD185" s="1">
        <v>381</v>
      </c>
      <c r="BE185" s="1">
        <v>40</v>
      </c>
      <c r="BG185" s="1">
        <v>42</v>
      </c>
      <c r="BI185" s="1">
        <v>77</v>
      </c>
    </row>
    <row r="186" spans="1:163" x14ac:dyDescent="0.2">
      <c r="A186" s="1" t="s">
        <v>907</v>
      </c>
      <c r="B186" s="1" t="s">
        <v>903</v>
      </c>
      <c r="C186" s="1" t="s">
        <v>908</v>
      </c>
      <c r="D186" s="1" t="s">
        <v>909</v>
      </c>
      <c r="E186" s="1" t="s">
        <v>7</v>
      </c>
      <c r="F186" s="1" t="s">
        <v>910</v>
      </c>
      <c r="G186" s="1" t="s">
        <v>749</v>
      </c>
      <c r="I186" s="1">
        <v>2</v>
      </c>
      <c r="L186" s="1" t="s">
        <v>906</v>
      </c>
      <c r="M186" s="1" t="s">
        <v>29</v>
      </c>
      <c r="N186" s="6">
        <v>1</v>
      </c>
      <c r="O186" s="6"/>
      <c r="S186" s="1">
        <v>4.3</v>
      </c>
      <c r="AX186" s="1">
        <v>87</v>
      </c>
      <c r="AZ186" s="1">
        <v>0.02</v>
      </c>
      <c r="BB186" s="1">
        <v>0.04</v>
      </c>
      <c r="BC186" s="1">
        <v>0.2</v>
      </c>
      <c r="BD186" s="1">
        <v>313</v>
      </c>
      <c r="BE186" s="1">
        <v>53</v>
      </c>
      <c r="BF186" s="1">
        <v>0.42</v>
      </c>
      <c r="BG186" s="1">
        <v>4</v>
      </c>
      <c r="BI186" s="1">
        <v>18</v>
      </c>
      <c r="BL186" s="1">
        <v>0.14000000000000001</v>
      </c>
      <c r="BN186" s="1">
        <v>26</v>
      </c>
    </row>
    <row r="187" spans="1:163" x14ac:dyDescent="0.2">
      <c r="A187" s="1" t="s">
        <v>911</v>
      </c>
      <c r="B187" s="1" t="s">
        <v>903</v>
      </c>
      <c r="C187" s="1" t="s">
        <v>912</v>
      </c>
      <c r="D187" s="1" t="s">
        <v>516</v>
      </c>
      <c r="E187" s="1" t="s">
        <v>7</v>
      </c>
      <c r="F187" s="1" t="s">
        <v>670</v>
      </c>
      <c r="G187" s="1" t="s">
        <v>749</v>
      </c>
      <c r="I187" s="1">
        <v>2</v>
      </c>
      <c r="L187" s="1" t="s">
        <v>906</v>
      </c>
      <c r="M187" s="1" t="s">
        <v>29</v>
      </c>
      <c r="N187" s="6">
        <v>1</v>
      </c>
      <c r="O187" s="6"/>
      <c r="S187" s="1">
        <v>8.6999999999999993</v>
      </c>
      <c r="AZ187" s="1">
        <v>0.04</v>
      </c>
      <c r="BB187" s="1">
        <v>0.13</v>
      </c>
      <c r="BF187" s="1">
        <v>2.0299999999999998</v>
      </c>
      <c r="BL187" s="1">
        <v>0.59</v>
      </c>
    </row>
    <row r="188" spans="1:163" x14ac:dyDescent="0.2">
      <c r="A188" s="1" t="s">
        <v>913</v>
      </c>
      <c r="B188" s="1" t="s">
        <v>903</v>
      </c>
      <c r="C188" s="1" t="s">
        <v>914</v>
      </c>
      <c r="D188" s="1" t="s">
        <v>915</v>
      </c>
      <c r="E188" s="1" t="s">
        <v>7</v>
      </c>
      <c r="F188" s="1" t="s">
        <v>916</v>
      </c>
      <c r="G188" s="1" t="s">
        <v>749</v>
      </c>
      <c r="I188" s="1">
        <v>2</v>
      </c>
      <c r="L188" s="1" t="s">
        <v>906</v>
      </c>
      <c r="M188" s="1" t="s">
        <v>29</v>
      </c>
      <c r="N188" s="6">
        <v>1</v>
      </c>
      <c r="O188" s="6"/>
      <c r="S188" s="1">
        <v>5.8</v>
      </c>
      <c r="AX188" s="1">
        <v>59</v>
      </c>
      <c r="BC188" s="1">
        <v>0.6</v>
      </c>
      <c r="BD188" s="1">
        <v>209</v>
      </c>
      <c r="BE188" s="1">
        <v>44</v>
      </c>
      <c r="BG188" s="1">
        <v>13</v>
      </c>
      <c r="BI188" s="1">
        <v>40</v>
      </c>
    </row>
    <row r="189" spans="1:163" x14ac:dyDescent="0.2">
      <c r="A189" s="1" t="s">
        <v>917</v>
      </c>
      <c r="B189" s="1" t="s">
        <v>903</v>
      </c>
      <c r="C189" s="1" t="s">
        <v>918</v>
      </c>
      <c r="D189" s="1" t="s">
        <v>919</v>
      </c>
      <c r="E189" s="1" t="s">
        <v>7</v>
      </c>
      <c r="F189" s="1" t="s">
        <v>920</v>
      </c>
      <c r="G189" s="1" t="s">
        <v>749</v>
      </c>
      <c r="H189" s="1" t="s">
        <v>921</v>
      </c>
      <c r="I189" s="1">
        <v>2</v>
      </c>
      <c r="L189" s="1" t="s">
        <v>906</v>
      </c>
      <c r="M189" s="1" t="s">
        <v>29</v>
      </c>
      <c r="N189" s="6">
        <v>1</v>
      </c>
      <c r="O189" s="6"/>
      <c r="S189" s="1">
        <v>65</v>
      </c>
      <c r="AX189" s="1">
        <v>1077</v>
      </c>
      <c r="BC189" s="1">
        <v>10</v>
      </c>
      <c r="BD189" s="1">
        <v>994</v>
      </c>
      <c r="BE189" s="1">
        <v>158</v>
      </c>
      <c r="BG189" s="1">
        <v>30</v>
      </c>
      <c r="BI189" s="1">
        <v>83</v>
      </c>
    </row>
    <row r="190" spans="1:163" x14ac:dyDescent="0.2">
      <c r="A190" s="1" t="s">
        <v>922</v>
      </c>
      <c r="B190" s="1" t="s">
        <v>903</v>
      </c>
      <c r="C190" s="1" t="s">
        <v>923</v>
      </c>
      <c r="D190" s="1" t="s">
        <v>329</v>
      </c>
      <c r="E190" s="1" t="s">
        <v>7</v>
      </c>
      <c r="F190" s="1" t="s">
        <v>668</v>
      </c>
      <c r="G190" s="1" t="s">
        <v>749</v>
      </c>
      <c r="I190" s="1">
        <v>2</v>
      </c>
      <c r="L190" s="1" t="s">
        <v>906</v>
      </c>
      <c r="M190" s="1" t="s">
        <v>29</v>
      </c>
      <c r="N190" s="6">
        <v>1</v>
      </c>
      <c r="O190" s="6"/>
      <c r="S190" s="1">
        <v>12.4</v>
      </c>
      <c r="AX190" s="1">
        <v>115</v>
      </c>
      <c r="AZ190" s="1">
        <v>0.28000000000000003</v>
      </c>
      <c r="BB190" s="1">
        <v>0.04</v>
      </c>
      <c r="BC190" s="1">
        <v>2.8</v>
      </c>
      <c r="BD190" s="1">
        <v>32.4</v>
      </c>
      <c r="BE190" s="1">
        <v>93</v>
      </c>
      <c r="BF190" s="1">
        <v>0.06</v>
      </c>
      <c r="BG190" s="1">
        <v>51</v>
      </c>
      <c r="BI190" s="1">
        <v>53</v>
      </c>
      <c r="BL190" s="1">
        <v>0.45</v>
      </c>
      <c r="BN190" s="1">
        <v>97</v>
      </c>
    </row>
    <row r="191" spans="1:163" x14ac:dyDescent="0.2">
      <c r="A191" s="1" t="s">
        <v>924</v>
      </c>
      <c r="B191" s="1" t="s">
        <v>903</v>
      </c>
      <c r="C191" s="1" t="s">
        <v>925</v>
      </c>
      <c r="D191" s="1" t="s">
        <v>337</v>
      </c>
      <c r="E191" s="1" t="s">
        <v>7</v>
      </c>
      <c r="F191" s="1" t="s">
        <v>338</v>
      </c>
      <c r="G191" s="1" t="s">
        <v>749</v>
      </c>
      <c r="I191" s="1">
        <v>2</v>
      </c>
      <c r="L191" s="1" t="s">
        <v>906</v>
      </c>
      <c r="M191" s="1" t="s">
        <v>29</v>
      </c>
      <c r="N191" s="6">
        <v>1</v>
      </c>
      <c r="O191" s="6"/>
      <c r="S191" s="1">
        <v>8.6999999999999993</v>
      </c>
      <c r="AX191" s="1">
        <v>96</v>
      </c>
      <c r="BC191" s="1">
        <v>2.2999999999999998</v>
      </c>
      <c r="BD191" s="1">
        <v>375</v>
      </c>
      <c r="BE191" s="1">
        <v>35</v>
      </c>
      <c r="BG191" s="1">
        <v>25</v>
      </c>
      <c r="BI191" s="1">
        <v>26</v>
      </c>
    </row>
    <row r="192" spans="1:163" x14ac:dyDescent="0.2">
      <c r="A192" s="1" t="s">
        <v>926</v>
      </c>
      <c r="B192" s="1" t="s">
        <v>927</v>
      </c>
      <c r="C192" s="1" t="s">
        <v>928</v>
      </c>
      <c r="D192" s="1" t="s">
        <v>322</v>
      </c>
      <c r="E192" s="1" t="s">
        <v>7</v>
      </c>
      <c r="F192" s="1" t="s">
        <v>929</v>
      </c>
      <c r="I192" s="1">
        <v>3</v>
      </c>
      <c r="L192" s="1" t="s">
        <v>930</v>
      </c>
      <c r="M192" s="1" t="s">
        <v>29</v>
      </c>
      <c r="N192" s="6">
        <v>1</v>
      </c>
      <c r="O192" s="6"/>
      <c r="R192" s="1">
        <v>74</v>
      </c>
      <c r="V192" s="1">
        <v>3.42</v>
      </c>
      <c r="AA192" s="1">
        <v>1.02</v>
      </c>
      <c r="AE192" s="1">
        <v>10.53</v>
      </c>
      <c r="AO192" s="1">
        <v>7.73</v>
      </c>
      <c r="AW192" s="1">
        <v>2.89</v>
      </c>
      <c r="AX192" s="1">
        <v>176</v>
      </c>
      <c r="BB192" s="1">
        <v>14.7</v>
      </c>
      <c r="BC192" s="1">
        <v>45.9</v>
      </c>
      <c r="BD192" s="1">
        <v>386</v>
      </c>
      <c r="BE192" s="1">
        <v>150</v>
      </c>
      <c r="BG192" s="1">
        <v>62.7</v>
      </c>
      <c r="BI192" s="1">
        <v>4.0000000000000001E-3</v>
      </c>
      <c r="BL192" s="1">
        <v>5.29</v>
      </c>
      <c r="BN192" s="1">
        <v>26.4</v>
      </c>
      <c r="DX192" s="1">
        <v>34.884</v>
      </c>
      <c r="DY192" s="1">
        <v>54.378</v>
      </c>
      <c r="DZ192" s="1">
        <v>87.552000000000007</v>
      </c>
      <c r="EC192" s="1">
        <v>87.552000000000007</v>
      </c>
      <c r="ED192" s="1">
        <v>35.910000000000004</v>
      </c>
      <c r="EE192" s="1">
        <v>19.152000000000001</v>
      </c>
      <c r="EF192" s="1">
        <v>30.096</v>
      </c>
      <c r="EG192" s="1">
        <v>53.694000000000003</v>
      </c>
      <c r="EH192" s="1">
        <v>54.378</v>
      </c>
      <c r="EI192" s="1">
        <v>6.1559999999999997</v>
      </c>
      <c r="EJ192" s="1">
        <v>29.411999999999999</v>
      </c>
      <c r="EL192" s="1">
        <v>31.806000000000001</v>
      </c>
      <c r="EM192" s="1">
        <v>40.013999999999996</v>
      </c>
      <c r="EO192" s="1">
        <v>27.36</v>
      </c>
      <c r="EP192" s="1">
        <v>47.879999999999995</v>
      </c>
      <c r="ES192" s="1">
        <v>655</v>
      </c>
      <c r="FF192" s="1">
        <v>1222</v>
      </c>
      <c r="FG192" s="1">
        <v>6.67</v>
      </c>
    </row>
    <row r="193" spans="1:163" x14ac:dyDescent="0.2">
      <c r="A193" s="1" t="s">
        <v>931</v>
      </c>
      <c r="B193" s="1" t="s">
        <v>927</v>
      </c>
      <c r="C193" s="1" t="s">
        <v>932</v>
      </c>
      <c r="D193" s="1" t="s">
        <v>322</v>
      </c>
      <c r="E193" s="1" t="s">
        <v>7</v>
      </c>
      <c r="F193" s="1" t="s">
        <v>933</v>
      </c>
      <c r="I193" s="1">
        <v>3</v>
      </c>
      <c r="L193" s="1" t="s">
        <v>930</v>
      </c>
      <c r="M193" s="1" t="s">
        <v>29</v>
      </c>
      <c r="N193" s="6">
        <v>1</v>
      </c>
      <c r="O193" s="6"/>
      <c r="R193" s="1">
        <v>85</v>
      </c>
      <c r="V193" s="1">
        <v>2.6</v>
      </c>
      <c r="AA193" s="1">
        <v>0.41</v>
      </c>
      <c r="AE193" s="1">
        <v>8.02</v>
      </c>
      <c r="AO193" s="1">
        <v>2.63</v>
      </c>
      <c r="AW193" s="1">
        <v>1.73</v>
      </c>
      <c r="AX193" s="1">
        <v>38.4</v>
      </c>
      <c r="BB193" s="1">
        <v>5.83</v>
      </c>
      <c r="BC193" s="1">
        <v>0.245</v>
      </c>
      <c r="BD193" s="1">
        <v>387</v>
      </c>
      <c r="BE193" s="1">
        <v>96.3</v>
      </c>
      <c r="BG193" s="1">
        <v>29.1</v>
      </c>
      <c r="BI193" s="1">
        <v>34.1</v>
      </c>
      <c r="BL193" s="1">
        <v>2.2999999999999998</v>
      </c>
      <c r="BN193" s="1">
        <v>2.97</v>
      </c>
      <c r="DX193" s="1">
        <v>20.540000000000003</v>
      </c>
      <c r="DY193" s="1">
        <v>20.540000000000003</v>
      </c>
      <c r="DZ193" s="1">
        <v>28.600000000000005</v>
      </c>
      <c r="EC193" s="1">
        <v>49.66</v>
      </c>
      <c r="ED193" s="1">
        <v>20.02</v>
      </c>
      <c r="EE193" s="1">
        <v>9.0999999999999979</v>
      </c>
      <c r="EF193" s="1">
        <v>14.819999999999999</v>
      </c>
      <c r="EG193" s="1">
        <v>23.400000000000006</v>
      </c>
      <c r="EH193" s="1">
        <v>2.8600000000000003</v>
      </c>
      <c r="EI193" s="1">
        <v>5.46</v>
      </c>
      <c r="EJ193" s="1">
        <v>18.72</v>
      </c>
      <c r="EL193" s="1">
        <v>14.040000000000001</v>
      </c>
      <c r="EM193" s="1">
        <v>5.98</v>
      </c>
      <c r="EO193" s="1">
        <v>11.96</v>
      </c>
      <c r="EP193" s="1">
        <v>17.420000000000002</v>
      </c>
      <c r="ES193" s="1">
        <v>176</v>
      </c>
      <c r="FF193" s="1">
        <v>869</v>
      </c>
      <c r="FG193" s="1">
        <v>386</v>
      </c>
    </row>
    <row r="194" spans="1:163" x14ac:dyDescent="0.2">
      <c r="A194" s="1" t="s">
        <v>934</v>
      </c>
      <c r="B194" s="1" t="s">
        <v>927</v>
      </c>
      <c r="D194" s="1" t="s">
        <v>935</v>
      </c>
      <c r="E194" s="1" t="s">
        <v>7</v>
      </c>
      <c r="F194" s="1" t="s">
        <v>936</v>
      </c>
      <c r="I194" s="1">
        <v>3</v>
      </c>
      <c r="L194" s="1" t="s">
        <v>930</v>
      </c>
      <c r="M194" s="1" t="s">
        <v>29</v>
      </c>
      <c r="N194" s="6">
        <v>1</v>
      </c>
      <c r="O194" s="6"/>
      <c r="R194" s="1">
        <v>91</v>
      </c>
      <c r="V194" s="1">
        <v>2.71</v>
      </c>
      <c r="AA194" s="1">
        <v>0.62</v>
      </c>
      <c r="AE194" s="1">
        <v>1.86</v>
      </c>
      <c r="AO194" s="1">
        <v>2.71</v>
      </c>
      <c r="AW194" s="1">
        <v>2.16</v>
      </c>
      <c r="AX194" s="1">
        <v>47.6</v>
      </c>
      <c r="BB194" s="1">
        <v>3.1</v>
      </c>
      <c r="BC194" s="1">
        <v>4.32</v>
      </c>
      <c r="BD194" s="1">
        <v>451</v>
      </c>
      <c r="BE194" s="1">
        <v>53.4</v>
      </c>
      <c r="BG194" s="1">
        <v>25.3</v>
      </c>
      <c r="BI194" s="1">
        <v>12.1</v>
      </c>
      <c r="BL194" s="1">
        <v>2.63</v>
      </c>
      <c r="BN194" s="1">
        <v>0.502</v>
      </c>
      <c r="DX194" s="1">
        <v>14.634</v>
      </c>
      <c r="DY194" s="1">
        <v>13.007999999999999</v>
      </c>
      <c r="DZ194" s="1">
        <v>19.782999999999998</v>
      </c>
      <c r="EC194" s="1">
        <v>28.183999999999997</v>
      </c>
      <c r="ED194" s="1">
        <v>14.091999999999999</v>
      </c>
      <c r="EE194" s="1">
        <v>4.3360000000000003</v>
      </c>
      <c r="EF194" s="1">
        <v>9.4849999999999994</v>
      </c>
      <c r="EG194" s="1">
        <v>14.905000000000001</v>
      </c>
      <c r="EH194" s="1">
        <v>10.026999999999999</v>
      </c>
      <c r="EI194" s="1">
        <v>3.2519999999999998</v>
      </c>
      <c r="EJ194" s="1">
        <v>11.653</v>
      </c>
      <c r="EL194" s="1">
        <v>8.6720000000000006</v>
      </c>
      <c r="EM194" s="1">
        <v>7.0459999999999994</v>
      </c>
      <c r="EO194" s="1">
        <v>4.8779999999999992</v>
      </c>
      <c r="EP194" s="1">
        <v>11.924000000000001</v>
      </c>
      <c r="ES194" s="1">
        <v>9.2799999999999994</v>
      </c>
      <c r="FF194" s="1">
        <v>168</v>
      </c>
      <c r="FG194" s="1">
        <v>424</v>
      </c>
    </row>
    <row r="195" spans="1:163" x14ac:dyDescent="0.2">
      <c r="A195" s="1" t="s">
        <v>937</v>
      </c>
      <c r="B195" s="1" t="s">
        <v>927</v>
      </c>
      <c r="D195" s="1" t="s">
        <v>938</v>
      </c>
      <c r="E195" s="1" t="s">
        <v>7</v>
      </c>
      <c r="F195" s="1" t="s">
        <v>939</v>
      </c>
      <c r="I195" s="1">
        <v>3</v>
      </c>
      <c r="L195" s="1" t="s">
        <v>930</v>
      </c>
      <c r="M195" s="1" t="s">
        <v>29</v>
      </c>
      <c r="N195" s="6">
        <v>1</v>
      </c>
      <c r="O195" s="6"/>
      <c r="R195" s="1">
        <v>88</v>
      </c>
      <c r="V195" s="1">
        <v>2.61</v>
      </c>
      <c r="AA195" s="1">
        <v>0.73</v>
      </c>
      <c r="AE195" s="1">
        <v>5.63</v>
      </c>
      <c r="AO195" s="1">
        <v>1.1499999999999999</v>
      </c>
      <c r="AW195" s="1">
        <v>1.48</v>
      </c>
      <c r="AX195" s="1">
        <v>36.1</v>
      </c>
      <c r="BB195" s="1">
        <v>5.45</v>
      </c>
      <c r="BC195" s="1">
        <v>3.42</v>
      </c>
      <c r="BD195" s="1">
        <v>418</v>
      </c>
      <c r="BE195" s="1">
        <v>64</v>
      </c>
      <c r="BG195" s="1">
        <v>20.8</v>
      </c>
      <c r="BI195" s="1">
        <v>16.899999999999999</v>
      </c>
      <c r="BL195" s="1">
        <v>1.65</v>
      </c>
      <c r="BN195" s="1" t="s">
        <v>15</v>
      </c>
      <c r="DX195" s="1">
        <v>8.8740000000000006</v>
      </c>
      <c r="DY195" s="1">
        <v>8.8740000000000006</v>
      </c>
      <c r="DZ195" s="1">
        <v>13.049999999999999</v>
      </c>
      <c r="EC195" s="1">
        <v>28.448999999999998</v>
      </c>
      <c r="ED195" s="1">
        <v>7.5689999999999991</v>
      </c>
      <c r="EE195" s="1">
        <v>4.1760000000000002</v>
      </c>
      <c r="EF195" s="1">
        <v>7.83</v>
      </c>
      <c r="EG195" s="1">
        <v>10.962</v>
      </c>
      <c r="EH195" s="1">
        <v>6.0029999999999992</v>
      </c>
      <c r="EI195" s="1">
        <v>1.5659999999999996</v>
      </c>
      <c r="EJ195" s="1">
        <v>14.876999999999997</v>
      </c>
      <c r="EL195" s="1">
        <v>5.742</v>
      </c>
      <c r="EM195" s="1">
        <v>6.2639999999999985</v>
      </c>
      <c r="EO195" s="1">
        <v>3.915</v>
      </c>
      <c r="EP195" s="1">
        <v>8.8740000000000006</v>
      </c>
      <c r="ES195" s="1">
        <v>131</v>
      </c>
      <c r="FF195" s="1">
        <v>655</v>
      </c>
      <c r="FG195" s="1">
        <v>481</v>
      </c>
    </row>
    <row r="196" spans="1:163" x14ac:dyDescent="0.2">
      <c r="A196" s="1" t="s">
        <v>940</v>
      </c>
      <c r="B196" s="1" t="s">
        <v>941</v>
      </c>
      <c r="D196" s="1" t="s">
        <v>516</v>
      </c>
      <c r="E196" s="1" t="s">
        <v>7</v>
      </c>
      <c r="F196" s="1" t="s">
        <v>670</v>
      </c>
      <c r="I196" s="1">
        <v>3</v>
      </c>
      <c r="L196" s="1" t="s">
        <v>942</v>
      </c>
      <c r="M196" s="1" t="s">
        <v>29</v>
      </c>
      <c r="N196" s="6">
        <v>1</v>
      </c>
      <c r="O196" s="6"/>
      <c r="R196" s="1">
        <v>94.2</v>
      </c>
      <c r="V196" s="1">
        <v>1.5369999999999993</v>
      </c>
      <c r="BB196" s="1">
        <v>0.11019999999999994</v>
      </c>
      <c r="BC196" s="1">
        <v>35.799999999999997</v>
      </c>
      <c r="BF196" s="1">
        <v>0.34799999999999981</v>
      </c>
      <c r="BL196" s="1">
        <v>0.59159999999999968</v>
      </c>
      <c r="BV196" s="1">
        <v>4000</v>
      </c>
      <c r="CM196" s="1">
        <v>36.799999999999997</v>
      </c>
    </row>
    <row r="197" spans="1:163" x14ac:dyDescent="0.2">
      <c r="A197" s="1" t="s">
        <v>943</v>
      </c>
      <c r="B197" s="1" t="s">
        <v>941</v>
      </c>
      <c r="D197" s="1" t="s">
        <v>606</v>
      </c>
      <c r="E197" s="1" t="s">
        <v>7</v>
      </c>
      <c r="F197" s="1" t="s">
        <v>607</v>
      </c>
      <c r="I197" s="1">
        <v>3</v>
      </c>
      <c r="L197" s="1" t="s">
        <v>942</v>
      </c>
      <c r="M197" s="1" t="s">
        <v>29</v>
      </c>
      <c r="N197" s="6">
        <v>1</v>
      </c>
      <c r="O197" s="6"/>
      <c r="R197" s="1">
        <v>83.5</v>
      </c>
      <c r="V197" s="1">
        <v>4.3230000000000004</v>
      </c>
      <c r="BB197" s="1">
        <v>0.14849999999999999</v>
      </c>
      <c r="BC197" s="1">
        <v>26.8</v>
      </c>
      <c r="BF197" s="1">
        <v>0.39600000000000002</v>
      </c>
      <c r="BL197" s="1">
        <v>0.51149999999999995</v>
      </c>
      <c r="BV197" s="1">
        <v>5400</v>
      </c>
      <c r="CM197" s="1">
        <v>107.7</v>
      </c>
    </row>
    <row r="198" spans="1:163" x14ac:dyDescent="0.2">
      <c r="A198" s="1" t="s">
        <v>944</v>
      </c>
      <c r="B198" s="1" t="s">
        <v>941</v>
      </c>
      <c r="D198" s="1" t="s">
        <v>329</v>
      </c>
      <c r="E198" s="1" t="s">
        <v>7</v>
      </c>
      <c r="F198" s="1" t="s">
        <v>668</v>
      </c>
      <c r="I198" s="1">
        <v>3</v>
      </c>
      <c r="L198" s="1" t="s">
        <v>942</v>
      </c>
      <c r="M198" s="1" t="s">
        <v>29</v>
      </c>
      <c r="N198" s="6">
        <v>1</v>
      </c>
      <c r="O198" s="6"/>
      <c r="R198" s="1">
        <v>88.2</v>
      </c>
      <c r="V198" s="1">
        <v>3.646199999999999</v>
      </c>
      <c r="BB198" s="1">
        <v>0.18879999999999997</v>
      </c>
      <c r="BC198" s="1">
        <v>50.6</v>
      </c>
      <c r="BF198" s="1">
        <v>0.47199999999999986</v>
      </c>
      <c r="BL198" s="1">
        <v>0.61359999999999981</v>
      </c>
      <c r="BV198" s="1">
        <v>4300</v>
      </c>
      <c r="CM198" s="1">
        <v>23.9</v>
      </c>
    </row>
    <row r="199" spans="1:163" x14ac:dyDescent="0.2">
      <c r="A199" s="1" t="s">
        <v>945</v>
      </c>
      <c r="B199" s="1" t="s">
        <v>941</v>
      </c>
      <c r="D199" s="1" t="s">
        <v>946</v>
      </c>
      <c r="E199" s="1" t="s">
        <v>7</v>
      </c>
      <c r="F199" s="1" t="s">
        <v>689</v>
      </c>
      <c r="I199" s="1">
        <v>3</v>
      </c>
      <c r="L199" s="1" t="s">
        <v>942</v>
      </c>
      <c r="M199" s="1" t="s">
        <v>29</v>
      </c>
      <c r="N199" s="6">
        <v>1</v>
      </c>
      <c r="O199" s="6"/>
      <c r="R199" s="1">
        <v>75.099999999999994</v>
      </c>
      <c r="V199" s="1">
        <v>6.5238000000000014</v>
      </c>
      <c r="BB199" s="1">
        <v>0.42330000000000007</v>
      </c>
      <c r="BC199" s="1">
        <v>84.4</v>
      </c>
      <c r="BF199" s="1">
        <v>1.2450000000000003</v>
      </c>
      <c r="BL199" s="1">
        <v>2.1165000000000003</v>
      </c>
      <c r="BV199" s="1">
        <v>11800</v>
      </c>
      <c r="CM199" s="1">
        <v>110.4</v>
      </c>
    </row>
    <row r="200" spans="1:163" x14ac:dyDescent="0.2">
      <c r="A200" s="1" t="s">
        <v>947</v>
      </c>
      <c r="B200" s="1" t="s">
        <v>941</v>
      </c>
      <c r="D200" s="1" t="s">
        <v>948</v>
      </c>
      <c r="E200" s="1" t="s">
        <v>7</v>
      </c>
      <c r="F200" s="1" t="s">
        <v>676</v>
      </c>
      <c r="I200" s="1">
        <v>3</v>
      </c>
      <c r="L200" s="1" t="s">
        <v>942</v>
      </c>
      <c r="M200" s="1" t="s">
        <v>29</v>
      </c>
      <c r="N200" s="6">
        <v>1</v>
      </c>
      <c r="O200" s="6"/>
      <c r="R200" s="1">
        <v>86.8</v>
      </c>
      <c r="V200" s="1">
        <v>3.9468000000000005</v>
      </c>
      <c r="BB200" s="1">
        <v>0.19800000000000004</v>
      </c>
      <c r="BC200" s="1">
        <v>66.8</v>
      </c>
      <c r="BF200" s="1">
        <v>0.62040000000000017</v>
      </c>
      <c r="BL200" s="1">
        <v>0.73920000000000019</v>
      </c>
      <c r="BV200" s="1">
        <v>7200</v>
      </c>
      <c r="CM200" s="1">
        <v>42.4</v>
      </c>
    </row>
    <row r="201" spans="1:163" x14ac:dyDescent="0.2">
      <c r="A201" s="1" t="s">
        <v>949</v>
      </c>
      <c r="B201" s="1" t="s">
        <v>941</v>
      </c>
      <c r="D201" s="1" t="s">
        <v>329</v>
      </c>
      <c r="E201" s="1" t="s">
        <v>7</v>
      </c>
      <c r="F201" s="1" t="s">
        <v>668</v>
      </c>
      <c r="I201" s="1">
        <v>3</v>
      </c>
      <c r="L201" s="1" t="s">
        <v>942</v>
      </c>
      <c r="M201" s="1" t="s">
        <v>29</v>
      </c>
      <c r="N201" s="6">
        <v>1</v>
      </c>
      <c r="O201" s="6"/>
      <c r="R201" s="1">
        <v>88.2</v>
      </c>
      <c r="V201" s="1">
        <v>3.6461999999999999</v>
      </c>
      <c r="BV201" s="1">
        <v>4300</v>
      </c>
      <c r="CM201" s="1">
        <v>23.9</v>
      </c>
    </row>
    <row r="202" spans="1:163" x14ac:dyDescent="0.2">
      <c r="A202" s="1" t="s">
        <v>950</v>
      </c>
      <c r="B202" s="1" t="s">
        <v>941</v>
      </c>
      <c r="D202" s="1" t="s">
        <v>946</v>
      </c>
      <c r="E202" s="1" t="s">
        <v>7</v>
      </c>
      <c r="F202" s="1" t="s">
        <v>689</v>
      </c>
      <c r="I202" s="1">
        <v>3</v>
      </c>
      <c r="L202" s="1" t="s">
        <v>942</v>
      </c>
      <c r="M202" s="1" t="s">
        <v>29</v>
      </c>
      <c r="N202" s="6">
        <v>1</v>
      </c>
      <c r="O202" s="6"/>
      <c r="R202" s="1">
        <v>75.099999999999994</v>
      </c>
      <c r="V202" s="1">
        <v>6.4451999999999998</v>
      </c>
      <c r="BV202" s="1">
        <v>11800</v>
      </c>
      <c r="CM202" s="1">
        <v>110.4</v>
      </c>
    </row>
    <row r="203" spans="1:163" x14ac:dyDescent="0.2">
      <c r="A203" s="1" t="s">
        <v>951</v>
      </c>
      <c r="B203" s="1" t="s">
        <v>941</v>
      </c>
      <c r="D203" s="1" t="s">
        <v>516</v>
      </c>
      <c r="E203" s="1" t="s">
        <v>7</v>
      </c>
      <c r="F203" s="1" t="s">
        <v>670</v>
      </c>
      <c r="I203" s="1">
        <v>3</v>
      </c>
      <c r="L203" s="1" t="s">
        <v>942</v>
      </c>
      <c r="M203" s="1" t="s">
        <v>29</v>
      </c>
      <c r="N203" s="6">
        <v>1</v>
      </c>
      <c r="O203" s="6"/>
      <c r="R203" s="1">
        <v>94.2</v>
      </c>
      <c r="V203" s="1">
        <v>1.5369999999999999</v>
      </c>
      <c r="BV203" s="1">
        <v>4000</v>
      </c>
      <c r="CM203" s="1">
        <v>36.799999999999997</v>
      </c>
    </row>
    <row r="204" spans="1:163" x14ac:dyDescent="0.2">
      <c r="A204" s="1" t="s">
        <v>952</v>
      </c>
      <c r="B204" s="1" t="s">
        <v>941</v>
      </c>
      <c r="D204" s="1" t="s">
        <v>948</v>
      </c>
      <c r="E204" s="1" t="s">
        <v>7</v>
      </c>
      <c r="F204" s="1" t="s">
        <v>676</v>
      </c>
      <c r="I204" s="1">
        <v>3</v>
      </c>
      <c r="L204" s="1" t="s">
        <v>942</v>
      </c>
      <c r="M204" s="1" t="s">
        <v>29</v>
      </c>
      <c r="N204" s="6">
        <v>1</v>
      </c>
      <c r="O204" s="6"/>
      <c r="R204" s="1">
        <v>86.8</v>
      </c>
      <c r="V204" s="1">
        <v>3.9468000000000001</v>
      </c>
      <c r="BV204" s="1">
        <v>7200</v>
      </c>
      <c r="CM204" s="1">
        <v>42.4</v>
      </c>
    </row>
    <row r="205" spans="1:163" x14ac:dyDescent="0.2">
      <c r="A205" s="1" t="s">
        <v>953</v>
      </c>
      <c r="B205" s="1" t="s">
        <v>941</v>
      </c>
      <c r="D205" s="1" t="s">
        <v>606</v>
      </c>
      <c r="E205" s="1" t="s">
        <v>7</v>
      </c>
      <c r="F205" s="1" t="s">
        <v>607</v>
      </c>
      <c r="I205" s="1">
        <v>3</v>
      </c>
      <c r="L205" s="1" t="s">
        <v>942</v>
      </c>
      <c r="M205" s="1" t="s">
        <v>29</v>
      </c>
      <c r="N205" s="6">
        <v>1</v>
      </c>
      <c r="O205" s="6"/>
      <c r="R205" s="1">
        <v>83.5</v>
      </c>
      <c r="V205" s="1">
        <v>4.3230000000000004</v>
      </c>
      <c r="BV205" s="1">
        <v>5400</v>
      </c>
      <c r="CM205" s="1">
        <v>107.7</v>
      </c>
    </row>
    <row r="206" spans="1:163" x14ac:dyDescent="0.2">
      <c r="A206" s="1" t="s">
        <v>954</v>
      </c>
      <c r="B206" s="1" t="s">
        <v>955</v>
      </c>
      <c r="D206" s="1" t="s">
        <v>956</v>
      </c>
      <c r="E206" s="1" t="s">
        <v>7</v>
      </c>
      <c r="F206" s="1" t="s">
        <v>338</v>
      </c>
      <c r="H206" s="1" t="s">
        <v>957</v>
      </c>
      <c r="I206" s="1">
        <v>3</v>
      </c>
      <c r="J206" s="1" t="s">
        <v>958</v>
      </c>
      <c r="L206" s="1" t="s">
        <v>959</v>
      </c>
      <c r="M206" s="1" t="s">
        <v>29</v>
      </c>
      <c r="N206" s="6">
        <v>1</v>
      </c>
      <c r="O206" s="6"/>
      <c r="Q206" s="1">
        <v>36</v>
      </c>
      <c r="R206" s="1">
        <v>87.71</v>
      </c>
      <c r="X206" s="1">
        <v>2.97</v>
      </c>
      <c r="AX206" s="1">
        <v>138</v>
      </c>
      <c r="BE206" s="1">
        <v>50</v>
      </c>
      <c r="BI206" s="1">
        <v>58</v>
      </c>
      <c r="CM206" s="1">
        <v>133</v>
      </c>
    </row>
    <row r="207" spans="1:163" x14ac:dyDescent="0.2">
      <c r="A207" s="1" t="s">
        <v>960</v>
      </c>
      <c r="B207" s="1" t="s">
        <v>955</v>
      </c>
      <c r="D207" s="1" t="s">
        <v>961</v>
      </c>
      <c r="E207" s="1" t="s">
        <v>7</v>
      </c>
      <c r="F207" s="1" t="s">
        <v>962</v>
      </c>
      <c r="H207" s="1" t="s">
        <v>957</v>
      </c>
      <c r="I207" s="1">
        <v>3</v>
      </c>
      <c r="J207" s="1" t="s">
        <v>958</v>
      </c>
      <c r="L207" s="1" t="s">
        <v>959</v>
      </c>
      <c r="M207" s="1" t="s">
        <v>29</v>
      </c>
      <c r="N207" s="6">
        <v>1</v>
      </c>
      <c r="O207" s="6"/>
      <c r="Q207" s="1">
        <v>43</v>
      </c>
      <c r="R207" s="1">
        <v>85.95</v>
      </c>
      <c r="X207" s="1">
        <v>3.46</v>
      </c>
      <c r="AX207" s="1">
        <v>208</v>
      </c>
      <c r="BE207" s="1">
        <v>55</v>
      </c>
      <c r="BI207" s="1">
        <v>66</v>
      </c>
      <c r="CM207" s="1">
        <v>85</v>
      </c>
    </row>
    <row r="208" spans="1:163" x14ac:dyDescent="0.2">
      <c r="A208" s="1" t="s">
        <v>963</v>
      </c>
      <c r="B208" s="1" t="s">
        <v>955</v>
      </c>
      <c r="D208" s="1" t="s">
        <v>681</v>
      </c>
      <c r="E208" s="1" t="s">
        <v>7</v>
      </c>
      <c r="F208" s="1" t="s">
        <v>579</v>
      </c>
      <c r="H208" s="1" t="s">
        <v>957</v>
      </c>
      <c r="I208" s="1">
        <v>3</v>
      </c>
      <c r="J208" s="1" t="s">
        <v>958</v>
      </c>
      <c r="L208" s="1" t="s">
        <v>959</v>
      </c>
      <c r="M208" s="1" t="s">
        <v>29</v>
      </c>
      <c r="N208" s="6">
        <v>1</v>
      </c>
      <c r="O208" s="6"/>
      <c r="Q208" s="1">
        <v>14</v>
      </c>
      <c r="R208" s="1">
        <v>94.91</v>
      </c>
      <c r="X208" s="1">
        <v>1.62</v>
      </c>
      <c r="AX208" s="1">
        <v>36</v>
      </c>
      <c r="BE208" s="1">
        <v>6</v>
      </c>
      <c r="BI208" s="1">
        <v>45</v>
      </c>
      <c r="CM208" s="1">
        <v>24</v>
      </c>
    </row>
    <row r="209" spans="1:93" x14ac:dyDescent="0.2">
      <c r="A209" s="1" t="s">
        <v>964</v>
      </c>
      <c r="B209" s="1" t="s">
        <v>955</v>
      </c>
      <c r="D209" s="1" t="s">
        <v>827</v>
      </c>
      <c r="E209" s="1" t="s">
        <v>7</v>
      </c>
      <c r="F209" s="1" t="s">
        <v>676</v>
      </c>
      <c r="H209" s="1" t="s">
        <v>957</v>
      </c>
      <c r="I209" s="1">
        <v>3</v>
      </c>
      <c r="J209" s="1" t="s">
        <v>958</v>
      </c>
      <c r="L209" s="1" t="s">
        <v>959</v>
      </c>
      <c r="M209" s="1" t="s">
        <v>29</v>
      </c>
      <c r="N209" s="6">
        <v>1</v>
      </c>
      <c r="O209" s="6"/>
      <c r="Q209" s="1">
        <v>24</v>
      </c>
      <c r="R209" s="1">
        <v>92.52</v>
      </c>
      <c r="X209" s="1">
        <v>1.21</v>
      </c>
      <c r="AX209" s="1">
        <v>47</v>
      </c>
      <c r="BE209" s="1">
        <v>15</v>
      </c>
      <c r="BI209" s="1">
        <v>23</v>
      </c>
      <c r="CM209" s="1">
        <v>51</v>
      </c>
    </row>
    <row r="210" spans="1:93" x14ac:dyDescent="0.2">
      <c r="A210" s="1" t="s">
        <v>965</v>
      </c>
      <c r="B210" s="1" t="s">
        <v>966</v>
      </c>
      <c r="D210" s="1" t="s">
        <v>606</v>
      </c>
      <c r="E210" s="1" t="s">
        <v>7</v>
      </c>
      <c r="F210" s="1" t="s">
        <v>967</v>
      </c>
      <c r="I210" s="1">
        <v>2</v>
      </c>
      <c r="J210" s="1" t="s">
        <v>968</v>
      </c>
      <c r="L210" s="1" t="s">
        <v>969</v>
      </c>
      <c r="M210" s="1" t="s">
        <v>29</v>
      </c>
      <c r="N210" s="6">
        <v>1</v>
      </c>
      <c r="O210" s="6"/>
      <c r="R210" s="1">
        <v>90.7</v>
      </c>
      <c r="X210" s="1">
        <v>2.12</v>
      </c>
      <c r="AA210" s="1">
        <v>0.35</v>
      </c>
      <c r="AP210" s="1">
        <v>3.72</v>
      </c>
      <c r="AW210" s="1">
        <v>1.81</v>
      </c>
      <c r="AX210" s="1">
        <v>183</v>
      </c>
      <c r="BC210" s="1">
        <v>8.68</v>
      </c>
      <c r="BI210" s="1">
        <v>45</v>
      </c>
      <c r="BV210" s="1">
        <v>10960</v>
      </c>
      <c r="CO210" s="1">
        <v>37.299999999999997</v>
      </c>
    </row>
    <row r="211" spans="1:93" x14ac:dyDescent="0.2">
      <c r="A211" s="1" t="s">
        <v>970</v>
      </c>
      <c r="B211" s="1" t="s">
        <v>966</v>
      </c>
      <c r="D211" s="1" t="s">
        <v>637</v>
      </c>
      <c r="E211" s="1" t="s">
        <v>11</v>
      </c>
      <c r="F211" s="1" t="s">
        <v>967</v>
      </c>
      <c r="H211" s="1" t="s">
        <v>971</v>
      </c>
      <c r="I211" s="1">
        <v>2</v>
      </c>
      <c r="J211" s="1" t="s">
        <v>968</v>
      </c>
      <c r="L211" s="1" t="s">
        <v>969</v>
      </c>
      <c r="M211" s="1" t="s">
        <v>29</v>
      </c>
      <c r="N211" s="6">
        <v>1</v>
      </c>
      <c r="O211" s="6"/>
      <c r="R211" s="1">
        <v>90.2</v>
      </c>
      <c r="X211" s="1">
        <v>2.1800000000000002</v>
      </c>
      <c r="AA211" s="1">
        <v>0.37</v>
      </c>
      <c r="AP211" s="1">
        <v>3.99</v>
      </c>
      <c r="AW211" s="1">
        <v>1.9</v>
      </c>
      <c r="AX211" s="1">
        <v>195</v>
      </c>
      <c r="BC211" s="1">
        <v>8.8699999999999992</v>
      </c>
      <c r="BI211" s="1">
        <v>50</v>
      </c>
      <c r="BV211" s="1">
        <v>13860</v>
      </c>
      <c r="CO211" s="1">
        <v>12.6</v>
      </c>
    </row>
    <row r="212" spans="1:93" x14ac:dyDescent="0.2">
      <c r="A212" s="1" t="s">
        <v>972</v>
      </c>
      <c r="B212" s="1" t="s">
        <v>966</v>
      </c>
      <c r="D212" s="1" t="s">
        <v>973</v>
      </c>
      <c r="E212" s="1" t="s">
        <v>11</v>
      </c>
      <c r="F212" s="1" t="s">
        <v>967</v>
      </c>
      <c r="H212" s="1" t="s">
        <v>974</v>
      </c>
      <c r="I212" s="1">
        <v>2</v>
      </c>
      <c r="J212" s="1" t="s">
        <v>968</v>
      </c>
      <c r="L212" s="1" t="s">
        <v>969</v>
      </c>
      <c r="M212" s="1" t="s">
        <v>29</v>
      </c>
      <c r="N212" s="6">
        <v>1</v>
      </c>
      <c r="O212" s="6"/>
      <c r="R212" s="1">
        <v>90</v>
      </c>
      <c r="X212" s="1">
        <v>2.23</v>
      </c>
      <c r="AA212" s="1">
        <v>0.42</v>
      </c>
      <c r="AP212" s="1">
        <v>3.97</v>
      </c>
      <c r="AW212" s="1">
        <v>1.86</v>
      </c>
      <c r="AX212" s="1">
        <v>190</v>
      </c>
      <c r="BC212" s="1">
        <v>7.84</v>
      </c>
      <c r="BI212" s="1">
        <v>47</v>
      </c>
      <c r="BV212" s="1">
        <v>19170</v>
      </c>
      <c r="CO212" s="1">
        <v>7.9</v>
      </c>
    </row>
    <row r="213" spans="1:93" x14ac:dyDescent="0.2">
      <c r="A213" s="1" t="s">
        <v>975</v>
      </c>
      <c r="B213" s="1" t="s">
        <v>966</v>
      </c>
      <c r="D213" s="1" t="s">
        <v>976</v>
      </c>
      <c r="E213" s="1" t="s">
        <v>11</v>
      </c>
      <c r="F213" s="1" t="s">
        <v>967</v>
      </c>
      <c r="H213" s="1" t="s">
        <v>977</v>
      </c>
      <c r="I213" s="1">
        <v>2</v>
      </c>
      <c r="J213" s="1" t="s">
        <v>968</v>
      </c>
      <c r="L213" s="1" t="s">
        <v>969</v>
      </c>
      <c r="M213" s="1" t="s">
        <v>29</v>
      </c>
      <c r="N213" s="6">
        <v>1</v>
      </c>
      <c r="O213" s="6"/>
      <c r="R213" s="1">
        <v>89.1</v>
      </c>
      <c r="X213" s="1">
        <v>2.42</v>
      </c>
      <c r="AA213" s="1">
        <v>0.38</v>
      </c>
      <c r="AP213" s="1">
        <v>3.64</v>
      </c>
      <c r="AW213" s="1">
        <v>1.96</v>
      </c>
      <c r="AX213" s="1">
        <v>182</v>
      </c>
      <c r="BC213" s="1">
        <v>8.7899999999999991</v>
      </c>
      <c r="BI213" s="1">
        <v>53</v>
      </c>
      <c r="BV213" s="1">
        <v>11750</v>
      </c>
      <c r="CO213" s="1">
        <v>12.1</v>
      </c>
    </row>
    <row r="214" spans="1:93" x14ac:dyDescent="0.2">
      <c r="A214" s="1" t="s">
        <v>978</v>
      </c>
      <c r="B214" s="1" t="s">
        <v>966</v>
      </c>
      <c r="C214" s="1" t="s">
        <v>644</v>
      </c>
      <c r="D214" s="1" t="s">
        <v>322</v>
      </c>
      <c r="E214" s="1" t="s">
        <v>7</v>
      </c>
      <c r="F214" s="1" t="s">
        <v>607</v>
      </c>
      <c r="I214" s="1">
        <v>2</v>
      </c>
      <c r="J214" s="1" t="s">
        <v>968</v>
      </c>
      <c r="L214" s="1" t="s">
        <v>969</v>
      </c>
      <c r="M214" s="1" t="s">
        <v>29</v>
      </c>
      <c r="N214" s="6">
        <v>1</v>
      </c>
      <c r="O214" s="6"/>
      <c r="R214" s="1">
        <v>91</v>
      </c>
      <c r="X214" s="1">
        <v>2.39</v>
      </c>
      <c r="AA214" s="1">
        <v>0.28999999999999998</v>
      </c>
      <c r="AP214" s="1">
        <v>3.65</v>
      </c>
      <c r="AW214" s="1">
        <v>1.75</v>
      </c>
      <c r="AX214" s="1">
        <v>192</v>
      </c>
      <c r="BC214" s="1">
        <v>5.92</v>
      </c>
      <c r="BI214" s="1">
        <v>65</v>
      </c>
      <c r="BV214" s="1">
        <v>14300</v>
      </c>
      <c r="CO214" s="1">
        <v>24.3</v>
      </c>
    </row>
    <row r="215" spans="1:93" x14ac:dyDescent="0.2">
      <c r="A215" s="1" t="s">
        <v>979</v>
      </c>
      <c r="B215" s="1" t="s">
        <v>966</v>
      </c>
      <c r="C215" s="1" t="s">
        <v>644</v>
      </c>
      <c r="D215" s="1" t="s">
        <v>325</v>
      </c>
      <c r="E215" s="1" t="s">
        <v>11</v>
      </c>
      <c r="F215" s="1" t="s">
        <v>607</v>
      </c>
      <c r="H215" s="1" t="s">
        <v>980</v>
      </c>
      <c r="I215" s="1">
        <v>2</v>
      </c>
      <c r="J215" s="1" t="s">
        <v>968</v>
      </c>
      <c r="L215" s="1" t="s">
        <v>969</v>
      </c>
      <c r="M215" s="1" t="s">
        <v>29</v>
      </c>
      <c r="N215" s="6">
        <v>1</v>
      </c>
      <c r="O215" s="6"/>
      <c r="R215" s="1">
        <v>90.4</v>
      </c>
      <c r="X215" s="1">
        <v>2.63</v>
      </c>
      <c r="AA215" s="1">
        <v>0.37</v>
      </c>
      <c r="AP215" s="1">
        <v>3.85</v>
      </c>
      <c r="AW215" s="1">
        <v>1.77</v>
      </c>
      <c r="AX215" s="1">
        <v>201</v>
      </c>
      <c r="BC215" s="1">
        <v>5.67</v>
      </c>
      <c r="BI215" s="1">
        <v>67</v>
      </c>
      <c r="BV215" s="1">
        <v>14230</v>
      </c>
      <c r="CO215" s="1">
        <v>13.2</v>
      </c>
    </row>
    <row r="216" spans="1:93" x14ac:dyDescent="0.2">
      <c r="A216" s="1" t="s">
        <v>981</v>
      </c>
      <c r="B216" s="1" t="s">
        <v>966</v>
      </c>
      <c r="C216" s="1" t="s">
        <v>644</v>
      </c>
      <c r="D216" s="1" t="s">
        <v>982</v>
      </c>
      <c r="E216" s="1" t="s">
        <v>11</v>
      </c>
      <c r="F216" s="1" t="s">
        <v>607</v>
      </c>
      <c r="H216" s="1" t="s">
        <v>983</v>
      </c>
      <c r="I216" s="1">
        <v>2</v>
      </c>
      <c r="J216" s="1" t="s">
        <v>968</v>
      </c>
      <c r="L216" s="1" t="s">
        <v>969</v>
      </c>
      <c r="M216" s="1" t="s">
        <v>29</v>
      </c>
      <c r="N216" s="6">
        <v>1</v>
      </c>
      <c r="O216" s="6"/>
      <c r="R216" s="1">
        <v>90.5</v>
      </c>
      <c r="X216" s="1">
        <v>2.42</v>
      </c>
      <c r="AA216" s="1">
        <v>0.42</v>
      </c>
      <c r="AP216" s="1">
        <v>3.68</v>
      </c>
      <c r="AW216" s="1">
        <v>1.65</v>
      </c>
      <c r="AX216" s="1">
        <v>190</v>
      </c>
      <c r="BC216" s="1">
        <v>5.84</v>
      </c>
      <c r="BI216" s="1">
        <v>60</v>
      </c>
      <c r="BV216" s="1">
        <v>23960</v>
      </c>
      <c r="CO216" s="1">
        <v>8</v>
      </c>
    </row>
    <row r="217" spans="1:93" x14ac:dyDescent="0.2">
      <c r="A217" s="1" t="s">
        <v>984</v>
      </c>
      <c r="B217" s="1" t="s">
        <v>966</v>
      </c>
      <c r="C217" s="1" t="s">
        <v>644</v>
      </c>
      <c r="D217" s="1" t="s">
        <v>985</v>
      </c>
      <c r="E217" s="1" t="s">
        <v>11</v>
      </c>
      <c r="F217" s="1" t="s">
        <v>607</v>
      </c>
      <c r="H217" s="1" t="s">
        <v>986</v>
      </c>
      <c r="I217" s="1">
        <v>2</v>
      </c>
      <c r="J217" s="1" t="s">
        <v>968</v>
      </c>
      <c r="L217" s="1" t="s">
        <v>969</v>
      </c>
      <c r="M217" s="1" t="s">
        <v>29</v>
      </c>
      <c r="N217" s="6">
        <v>1</v>
      </c>
      <c r="O217" s="6"/>
      <c r="R217" s="1">
        <v>90.3</v>
      </c>
      <c r="X217" s="1">
        <v>2.48</v>
      </c>
      <c r="AA217" s="1">
        <v>0.37</v>
      </c>
      <c r="AP217" s="1">
        <v>3.71</v>
      </c>
      <c r="AW217" s="1">
        <v>1.77</v>
      </c>
      <c r="AX217" s="1">
        <v>209</v>
      </c>
      <c r="BC217" s="1">
        <v>5.96</v>
      </c>
      <c r="BI217" s="1">
        <v>68</v>
      </c>
      <c r="BV217" s="1">
        <v>23510</v>
      </c>
      <c r="CO217" s="1">
        <v>12.2</v>
      </c>
    </row>
    <row r="218" spans="1:93" x14ac:dyDescent="0.2">
      <c r="A218" s="1" t="s">
        <v>987</v>
      </c>
      <c r="B218" s="1" t="s">
        <v>966</v>
      </c>
      <c r="C218" s="1" t="s">
        <v>654</v>
      </c>
      <c r="D218" s="1" t="s">
        <v>322</v>
      </c>
      <c r="E218" s="1" t="s">
        <v>7</v>
      </c>
      <c r="F218" s="1" t="s">
        <v>655</v>
      </c>
      <c r="I218" s="1">
        <v>2</v>
      </c>
      <c r="J218" s="1" t="s">
        <v>968</v>
      </c>
      <c r="L218" s="1" t="s">
        <v>969</v>
      </c>
      <c r="M218" s="1" t="s">
        <v>29</v>
      </c>
      <c r="N218" s="6">
        <v>1</v>
      </c>
      <c r="O218" s="6"/>
      <c r="R218" s="1">
        <v>90.4</v>
      </c>
      <c r="X218" s="1">
        <v>2.6</v>
      </c>
      <c r="AA218" s="1">
        <v>0.47</v>
      </c>
      <c r="AP218" s="1">
        <v>3.42</v>
      </c>
      <c r="AW218" s="1">
        <v>1.62</v>
      </c>
      <c r="AX218" s="1">
        <v>113</v>
      </c>
      <c r="BC218" s="1">
        <v>3.38</v>
      </c>
      <c r="BI218" s="1">
        <v>40</v>
      </c>
      <c r="BV218" s="1">
        <v>21010</v>
      </c>
      <c r="CO218" s="1">
        <v>35</v>
      </c>
    </row>
    <row r="219" spans="1:93" x14ac:dyDescent="0.2">
      <c r="A219" s="1" t="s">
        <v>988</v>
      </c>
      <c r="B219" s="1" t="s">
        <v>966</v>
      </c>
      <c r="C219" s="1" t="s">
        <v>654</v>
      </c>
      <c r="D219" s="1" t="s">
        <v>325</v>
      </c>
      <c r="E219" s="1" t="s">
        <v>11</v>
      </c>
      <c r="F219" s="1" t="s">
        <v>655</v>
      </c>
      <c r="H219" s="1" t="s">
        <v>989</v>
      </c>
      <c r="I219" s="1">
        <v>2</v>
      </c>
      <c r="J219" s="1" t="s">
        <v>968</v>
      </c>
      <c r="L219" s="1" t="s">
        <v>969</v>
      </c>
      <c r="M219" s="1" t="s">
        <v>29</v>
      </c>
      <c r="N219" s="6">
        <v>1</v>
      </c>
      <c r="O219" s="6"/>
      <c r="R219" s="1">
        <v>89.5</v>
      </c>
      <c r="X219" s="1">
        <v>2.71</v>
      </c>
      <c r="AA219" s="1">
        <v>0.42</v>
      </c>
      <c r="AP219" s="1">
        <v>3.51</v>
      </c>
      <c r="AW219" s="1">
        <v>1.74</v>
      </c>
      <c r="AX219" s="1">
        <v>106</v>
      </c>
      <c r="BC219" s="1">
        <v>5.03</v>
      </c>
      <c r="BI219" s="1">
        <v>51</v>
      </c>
      <c r="BV219" s="1">
        <v>31470</v>
      </c>
      <c r="CO219" s="1">
        <v>18.899999999999999</v>
      </c>
    </row>
    <row r="220" spans="1:93" x14ac:dyDescent="0.2">
      <c r="A220" s="1" t="s">
        <v>990</v>
      </c>
      <c r="B220" s="1" t="s">
        <v>966</v>
      </c>
      <c r="C220" s="1" t="s">
        <v>654</v>
      </c>
      <c r="D220" s="1" t="s">
        <v>982</v>
      </c>
      <c r="E220" s="1" t="s">
        <v>11</v>
      </c>
      <c r="F220" s="1" t="s">
        <v>655</v>
      </c>
      <c r="H220" s="1" t="s">
        <v>991</v>
      </c>
      <c r="I220" s="1">
        <v>2</v>
      </c>
      <c r="J220" s="1" t="s">
        <v>968</v>
      </c>
      <c r="L220" s="1" t="s">
        <v>969</v>
      </c>
      <c r="M220" s="1" t="s">
        <v>29</v>
      </c>
      <c r="N220" s="6">
        <v>1</v>
      </c>
      <c r="O220" s="6"/>
      <c r="R220" s="1">
        <v>90.8</v>
      </c>
      <c r="X220" s="1">
        <v>2.5099999999999998</v>
      </c>
      <c r="AA220" s="1">
        <v>0.49</v>
      </c>
      <c r="AP220" s="1">
        <v>3.45</v>
      </c>
      <c r="AW220" s="1">
        <v>1.53</v>
      </c>
      <c r="AX220" s="1">
        <v>109</v>
      </c>
      <c r="BC220" s="1">
        <v>4.1900000000000004</v>
      </c>
      <c r="BI220" s="1">
        <v>42</v>
      </c>
      <c r="BV220" s="1">
        <v>21810</v>
      </c>
      <c r="CO220" s="1">
        <v>20.6</v>
      </c>
    </row>
    <row r="221" spans="1:93" x14ac:dyDescent="0.2">
      <c r="A221" s="1" t="s">
        <v>992</v>
      </c>
      <c r="B221" s="1" t="s">
        <v>966</v>
      </c>
      <c r="C221" s="1" t="s">
        <v>654</v>
      </c>
      <c r="D221" s="1" t="s">
        <v>985</v>
      </c>
      <c r="E221" s="1" t="s">
        <v>11</v>
      </c>
      <c r="F221" s="1" t="s">
        <v>655</v>
      </c>
      <c r="H221" s="1" t="s">
        <v>993</v>
      </c>
      <c r="I221" s="1">
        <v>2</v>
      </c>
      <c r="J221" s="1" t="s">
        <v>968</v>
      </c>
      <c r="L221" s="1" t="s">
        <v>969</v>
      </c>
      <c r="M221" s="1" t="s">
        <v>29</v>
      </c>
      <c r="N221" s="6">
        <v>1</v>
      </c>
      <c r="O221" s="6"/>
      <c r="R221" s="1">
        <v>88.3</v>
      </c>
      <c r="X221" s="1">
        <v>2.92</v>
      </c>
      <c r="AA221" s="1">
        <v>0.55000000000000004</v>
      </c>
      <c r="AP221" s="1">
        <v>4.0599999999999996</v>
      </c>
      <c r="AW221" s="1">
        <v>1.63</v>
      </c>
      <c r="AX221" s="1">
        <v>137</v>
      </c>
      <c r="BC221" s="1">
        <v>4.45</v>
      </c>
      <c r="BI221" s="1">
        <v>53</v>
      </c>
      <c r="BV221" s="1">
        <v>31670</v>
      </c>
      <c r="CO221" s="1">
        <v>18.399999999999999</v>
      </c>
    </row>
    <row r="222" spans="1:93" x14ac:dyDescent="0.2">
      <c r="A222" s="1" t="s">
        <v>994</v>
      </c>
      <c r="B222" s="1" t="s">
        <v>966</v>
      </c>
      <c r="D222" s="1" t="s">
        <v>516</v>
      </c>
      <c r="E222" s="1" t="s">
        <v>7</v>
      </c>
      <c r="F222" s="1" t="s">
        <v>670</v>
      </c>
      <c r="I222" s="1">
        <v>2</v>
      </c>
      <c r="J222" s="1" t="s">
        <v>968</v>
      </c>
      <c r="L222" s="1" t="s">
        <v>969</v>
      </c>
      <c r="M222" s="1" t="s">
        <v>29</v>
      </c>
      <c r="N222" s="6">
        <v>1</v>
      </c>
      <c r="O222" s="6"/>
      <c r="R222" s="1">
        <v>94.7</v>
      </c>
      <c r="X222" s="1">
        <v>1.51</v>
      </c>
      <c r="AA222" s="1">
        <v>0.17</v>
      </c>
      <c r="AP222" s="1">
        <v>1.87</v>
      </c>
      <c r="AW222" s="1">
        <v>1.25</v>
      </c>
      <c r="AX222" s="1">
        <v>38</v>
      </c>
      <c r="BC222" s="1">
        <v>3</v>
      </c>
      <c r="BI222" s="1">
        <v>26</v>
      </c>
      <c r="BV222" s="1">
        <v>3570</v>
      </c>
      <c r="CO222" s="1">
        <v>9.4</v>
      </c>
    </row>
    <row r="223" spans="1:93" x14ac:dyDescent="0.2">
      <c r="A223" s="1" t="s">
        <v>995</v>
      </c>
      <c r="B223" s="1" t="s">
        <v>966</v>
      </c>
      <c r="D223" s="1" t="s">
        <v>996</v>
      </c>
      <c r="E223" s="1" t="s">
        <v>11</v>
      </c>
      <c r="F223" s="1" t="s">
        <v>670</v>
      </c>
      <c r="H223" s="1" t="s">
        <v>989</v>
      </c>
      <c r="I223" s="1">
        <v>2</v>
      </c>
      <c r="J223" s="1" t="s">
        <v>968</v>
      </c>
      <c r="L223" s="1" t="s">
        <v>969</v>
      </c>
      <c r="M223" s="1" t="s">
        <v>29</v>
      </c>
      <c r="N223" s="6">
        <v>1</v>
      </c>
      <c r="O223" s="6"/>
      <c r="R223" s="1">
        <v>92.6</v>
      </c>
      <c r="X223" s="1">
        <v>2.17</v>
      </c>
      <c r="AA223" s="1">
        <v>0.4</v>
      </c>
      <c r="AP223" s="1">
        <v>2.23</v>
      </c>
      <c r="AW223" s="1">
        <v>1.59</v>
      </c>
      <c r="AX223" s="1">
        <v>55</v>
      </c>
      <c r="BC223" s="1">
        <v>2.97</v>
      </c>
      <c r="BI223" s="1">
        <v>32</v>
      </c>
      <c r="BV223" s="1">
        <v>6540</v>
      </c>
      <c r="CO223" s="1">
        <v>0.46</v>
      </c>
    </row>
    <row r="224" spans="1:93" x14ac:dyDescent="0.2">
      <c r="A224" s="1" t="s">
        <v>997</v>
      </c>
      <c r="B224" s="1" t="s">
        <v>966</v>
      </c>
      <c r="D224" s="1" t="s">
        <v>998</v>
      </c>
      <c r="E224" s="1" t="s">
        <v>11</v>
      </c>
      <c r="F224" s="1" t="s">
        <v>670</v>
      </c>
      <c r="H224" s="1" t="s">
        <v>991</v>
      </c>
      <c r="I224" s="1">
        <v>2</v>
      </c>
      <c r="J224" s="1" t="s">
        <v>968</v>
      </c>
      <c r="L224" s="1" t="s">
        <v>969</v>
      </c>
      <c r="M224" s="1" t="s">
        <v>29</v>
      </c>
      <c r="N224" s="6">
        <v>1</v>
      </c>
      <c r="O224" s="6"/>
      <c r="R224" s="1">
        <v>93.3</v>
      </c>
      <c r="X224" s="1">
        <v>2.0499999999999998</v>
      </c>
      <c r="AA224" s="1">
        <v>0.4</v>
      </c>
      <c r="AP224" s="1">
        <v>2.2400000000000002</v>
      </c>
      <c r="AW224" s="1">
        <v>1.29</v>
      </c>
      <c r="AX224" s="1">
        <v>52</v>
      </c>
      <c r="BC224" s="1">
        <v>2.69</v>
      </c>
      <c r="BI224" s="1">
        <v>30</v>
      </c>
      <c r="BV224" s="1">
        <v>6200</v>
      </c>
      <c r="CO224" s="1">
        <v>0.72</v>
      </c>
    </row>
    <row r="225" spans="1:93" x14ac:dyDescent="0.2">
      <c r="A225" s="1" t="s">
        <v>999</v>
      </c>
      <c r="B225" s="1" t="s">
        <v>966</v>
      </c>
      <c r="D225" s="1" t="s">
        <v>1000</v>
      </c>
      <c r="E225" s="1" t="s">
        <v>11</v>
      </c>
      <c r="F225" s="1" t="s">
        <v>670</v>
      </c>
      <c r="H225" s="1" t="s">
        <v>993</v>
      </c>
      <c r="I225" s="1">
        <v>2</v>
      </c>
      <c r="J225" s="1" t="s">
        <v>968</v>
      </c>
      <c r="L225" s="1" t="s">
        <v>969</v>
      </c>
      <c r="M225" s="1" t="s">
        <v>29</v>
      </c>
      <c r="N225" s="6">
        <v>1</v>
      </c>
      <c r="O225" s="6"/>
      <c r="R225" s="1">
        <v>93</v>
      </c>
      <c r="X225" s="1">
        <v>1.92</v>
      </c>
      <c r="AA225" s="1">
        <v>0.39</v>
      </c>
      <c r="AP225" s="1">
        <v>2.2999999999999998</v>
      </c>
      <c r="AW225" s="1">
        <v>1.45</v>
      </c>
      <c r="AX225" s="1">
        <v>53</v>
      </c>
      <c r="BC225" s="1">
        <v>3.56</v>
      </c>
      <c r="BI225" s="1">
        <v>30</v>
      </c>
      <c r="BV225" s="1">
        <v>5180</v>
      </c>
      <c r="CO225" s="1">
        <v>0.52</v>
      </c>
    </row>
    <row r="226" spans="1:93" x14ac:dyDescent="0.2">
      <c r="A226" s="1" t="s">
        <v>1001</v>
      </c>
      <c r="B226" s="1" t="s">
        <v>1002</v>
      </c>
      <c r="C226" s="1" t="s">
        <v>1003</v>
      </c>
      <c r="D226" s="1" t="s">
        <v>322</v>
      </c>
      <c r="E226" s="1" t="s">
        <v>7</v>
      </c>
      <c r="F226" s="1" t="s">
        <v>1004</v>
      </c>
      <c r="L226" s="1" t="s">
        <v>1005</v>
      </c>
      <c r="M226" s="1" t="s">
        <v>29</v>
      </c>
      <c r="N226" s="6">
        <v>1</v>
      </c>
      <c r="O226" s="6"/>
      <c r="S226" s="1">
        <v>14.5</v>
      </c>
      <c r="CL226" s="1">
        <v>75.834999999999994</v>
      </c>
      <c r="CM226" s="1">
        <v>75.834999999999994</v>
      </c>
    </row>
    <row r="227" spans="1:93" x14ac:dyDescent="0.2">
      <c r="A227" s="1" t="s">
        <v>1006</v>
      </c>
      <c r="B227" s="1" t="s">
        <v>1002</v>
      </c>
      <c r="C227" s="1" t="s">
        <v>1003</v>
      </c>
      <c r="D227" s="1" t="s">
        <v>1007</v>
      </c>
      <c r="E227" s="1" t="s">
        <v>11</v>
      </c>
      <c r="F227" s="1" t="s">
        <v>1004</v>
      </c>
      <c r="H227" s="1" t="s">
        <v>1008</v>
      </c>
      <c r="L227" s="1" t="s">
        <v>1005</v>
      </c>
      <c r="M227" s="1" t="s">
        <v>29</v>
      </c>
      <c r="N227" s="6">
        <v>1</v>
      </c>
      <c r="O227" s="6"/>
      <c r="S227" s="1">
        <v>14.5</v>
      </c>
      <c r="CL227" s="1">
        <v>15.08</v>
      </c>
      <c r="CM227" s="1">
        <v>11.455</v>
      </c>
      <c r="CN227" s="1">
        <v>3.625</v>
      </c>
    </row>
    <row r="228" spans="1:93" x14ac:dyDescent="0.2">
      <c r="A228" s="1" t="s">
        <v>1009</v>
      </c>
      <c r="B228" s="1" t="s">
        <v>564</v>
      </c>
      <c r="D228" s="1" t="s">
        <v>516</v>
      </c>
      <c r="E228" s="1" t="s">
        <v>7</v>
      </c>
      <c r="F228" s="1" t="s">
        <v>670</v>
      </c>
      <c r="G228" s="1" t="s">
        <v>1010</v>
      </c>
      <c r="H228" s="1" t="s">
        <v>1011</v>
      </c>
      <c r="I228" s="1">
        <v>3</v>
      </c>
      <c r="L228" s="1" t="s">
        <v>1012</v>
      </c>
      <c r="M228" s="1" t="s">
        <v>29</v>
      </c>
      <c r="N228" s="6">
        <v>1</v>
      </c>
      <c r="O228" s="6"/>
      <c r="BB228" s="1">
        <v>0.09</v>
      </c>
      <c r="BC228" s="1">
        <v>2.2000000000000002</v>
      </c>
      <c r="BI228" s="1">
        <v>142.6</v>
      </c>
      <c r="BL228" s="1">
        <v>0.33</v>
      </c>
    </row>
    <row r="229" spans="1:93" x14ac:dyDescent="0.2">
      <c r="A229" s="1" t="s">
        <v>1013</v>
      </c>
      <c r="B229" s="1" t="s">
        <v>564</v>
      </c>
      <c r="D229" s="1" t="s">
        <v>516</v>
      </c>
      <c r="E229" s="1" t="s">
        <v>7</v>
      </c>
      <c r="F229" s="1" t="s">
        <v>670</v>
      </c>
      <c r="G229" s="1" t="s">
        <v>1010</v>
      </c>
      <c r="H229" s="1" t="s">
        <v>1014</v>
      </c>
      <c r="I229" s="1">
        <v>3</v>
      </c>
      <c r="L229" s="1" t="s">
        <v>1012</v>
      </c>
      <c r="M229" s="1" t="s">
        <v>29</v>
      </c>
      <c r="N229" s="6">
        <v>1</v>
      </c>
      <c r="O229" s="6"/>
      <c r="BB229" s="1">
        <v>0.13</v>
      </c>
      <c r="BC229" s="1">
        <v>1</v>
      </c>
      <c r="BI229" s="1">
        <v>123.5</v>
      </c>
      <c r="BL229" s="1">
        <v>0.19</v>
      </c>
    </row>
    <row r="230" spans="1:93" x14ac:dyDescent="0.2">
      <c r="A230" s="1" t="s">
        <v>1015</v>
      </c>
      <c r="B230" s="1" t="s">
        <v>564</v>
      </c>
      <c r="D230" s="1" t="s">
        <v>516</v>
      </c>
      <c r="E230" s="1" t="s">
        <v>7</v>
      </c>
      <c r="F230" s="1" t="s">
        <v>670</v>
      </c>
      <c r="G230" s="1" t="s">
        <v>1010</v>
      </c>
      <c r="H230" s="1" t="s">
        <v>1016</v>
      </c>
      <c r="I230" s="1">
        <v>3</v>
      </c>
      <c r="L230" s="1" t="s">
        <v>1012</v>
      </c>
      <c r="M230" s="1" t="s">
        <v>29</v>
      </c>
      <c r="N230" s="6">
        <v>1</v>
      </c>
      <c r="O230" s="6"/>
      <c r="BB230" s="1">
        <v>0.12</v>
      </c>
      <c r="BC230" s="1">
        <v>1.5</v>
      </c>
      <c r="BI230" s="1">
        <v>120</v>
      </c>
      <c r="BL230" s="1">
        <v>0.3</v>
      </c>
    </row>
    <row r="231" spans="1:93" x14ac:dyDescent="0.2">
      <c r="A231" s="1" t="s">
        <v>1017</v>
      </c>
      <c r="B231" s="1" t="s">
        <v>564</v>
      </c>
      <c r="D231" s="1" t="s">
        <v>516</v>
      </c>
      <c r="E231" s="1" t="s">
        <v>7</v>
      </c>
      <c r="F231" s="1" t="s">
        <v>670</v>
      </c>
      <c r="G231" s="1" t="s">
        <v>1010</v>
      </c>
      <c r="H231" s="1" t="s">
        <v>1018</v>
      </c>
      <c r="I231" s="1">
        <v>3</v>
      </c>
      <c r="L231" s="1" t="s">
        <v>1012</v>
      </c>
      <c r="M231" s="1" t="s">
        <v>29</v>
      </c>
      <c r="N231" s="6">
        <v>1</v>
      </c>
      <c r="O231" s="6"/>
      <c r="BB231" s="1">
        <v>0.08</v>
      </c>
      <c r="BC231" s="1">
        <v>2</v>
      </c>
      <c r="BI231" s="1">
        <v>144.9</v>
      </c>
      <c r="BL231" s="1">
        <v>0.33</v>
      </c>
    </row>
    <row r="232" spans="1:93" x14ac:dyDescent="0.2">
      <c r="A232" s="1" t="s">
        <v>1019</v>
      </c>
      <c r="B232" s="1" t="s">
        <v>564</v>
      </c>
      <c r="D232" s="1" t="s">
        <v>516</v>
      </c>
      <c r="E232" s="1" t="s">
        <v>7</v>
      </c>
      <c r="F232" s="1" t="s">
        <v>670</v>
      </c>
      <c r="G232" s="1" t="s">
        <v>1010</v>
      </c>
      <c r="H232" s="1" t="s">
        <v>1020</v>
      </c>
      <c r="I232" s="1">
        <v>3</v>
      </c>
      <c r="L232" s="1" t="s">
        <v>1012</v>
      </c>
      <c r="M232" s="1" t="s">
        <v>29</v>
      </c>
      <c r="N232" s="6">
        <v>1</v>
      </c>
      <c r="O232" s="6"/>
      <c r="BB232" s="1">
        <v>0.15</v>
      </c>
      <c r="BC232" s="1">
        <v>2.5</v>
      </c>
      <c r="BI232" s="1">
        <v>123.7</v>
      </c>
      <c r="BL232" s="1">
        <v>0.37</v>
      </c>
    </row>
    <row r="233" spans="1:93" x14ac:dyDescent="0.2">
      <c r="A233" s="1" t="s">
        <v>1021</v>
      </c>
      <c r="B233" s="1" t="s">
        <v>564</v>
      </c>
      <c r="C233" s="1" t="s">
        <v>673</v>
      </c>
      <c r="D233" s="1" t="s">
        <v>322</v>
      </c>
      <c r="E233" s="1" t="s">
        <v>7</v>
      </c>
      <c r="F233" s="1" t="s">
        <v>1022</v>
      </c>
      <c r="G233" s="1" t="s">
        <v>1023</v>
      </c>
      <c r="H233" s="1" t="s">
        <v>1011</v>
      </c>
      <c r="I233" s="1">
        <v>3</v>
      </c>
      <c r="L233" s="1" t="s">
        <v>1012</v>
      </c>
      <c r="M233" s="1" t="s">
        <v>29</v>
      </c>
      <c r="N233" s="6">
        <v>1</v>
      </c>
      <c r="O233" s="6"/>
      <c r="BB233" s="1">
        <v>0.1</v>
      </c>
      <c r="BC233" s="1">
        <v>1.6</v>
      </c>
      <c r="BI233" s="1">
        <v>57.5</v>
      </c>
      <c r="BL233" s="1">
        <v>0.24</v>
      </c>
    </row>
    <row r="234" spans="1:93" x14ac:dyDescent="0.2">
      <c r="A234" s="1" t="s">
        <v>1024</v>
      </c>
      <c r="B234" s="1" t="s">
        <v>564</v>
      </c>
      <c r="C234" s="1" t="s">
        <v>673</v>
      </c>
      <c r="D234" s="1" t="s">
        <v>322</v>
      </c>
      <c r="E234" s="1" t="s">
        <v>7</v>
      </c>
      <c r="F234" s="1" t="s">
        <v>1022</v>
      </c>
      <c r="G234" s="1" t="s">
        <v>1023</v>
      </c>
      <c r="H234" s="1" t="s">
        <v>1014</v>
      </c>
      <c r="I234" s="1">
        <v>3</v>
      </c>
      <c r="L234" s="1" t="s">
        <v>1012</v>
      </c>
      <c r="M234" s="1" t="s">
        <v>29</v>
      </c>
      <c r="N234" s="6">
        <v>1</v>
      </c>
      <c r="O234" s="6"/>
      <c r="BB234" s="1">
        <v>0.14000000000000001</v>
      </c>
      <c r="BC234" s="1">
        <v>5.2</v>
      </c>
      <c r="BI234" s="1">
        <v>69</v>
      </c>
      <c r="BL234" s="1">
        <v>0.27</v>
      </c>
    </row>
    <row r="235" spans="1:93" x14ac:dyDescent="0.2">
      <c r="A235" s="1" t="s">
        <v>1025</v>
      </c>
      <c r="B235" s="1" t="s">
        <v>564</v>
      </c>
      <c r="C235" s="1" t="s">
        <v>673</v>
      </c>
      <c r="D235" s="1" t="s">
        <v>322</v>
      </c>
      <c r="E235" s="1" t="s">
        <v>7</v>
      </c>
      <c r="F235" s="1" t="s">
        <v>1022</v>
      </c>
      <c r="G235" s="1" t="s">
        <v>1023</v>
      </c>
      <c r="H235" s="1" t="s">
        <v>1026</v>
      </c>
      <c r="I235" s="1">
        <v>3</v>
      </c>
      <c r="L235" s="1" t="s">
        <v>1012</v>
      </c>
      <c r="M235" s="1" t="s">
        <v>29</v>
      </c>
      <c r="N235" s="6">
        <v>1</v>
      </c>
      <c r="O235" s="6"/>
      <c r="BB235" s="1">
        <v>7.0000000000000007E-2</v>
      </c>
      <c r="BC235" s="1">
        <v>1.8</v>
      </c>
      <c r="BI235" s="1">
        <v>62.3</v>
      </c>
      <c r="BL235" s="1">
        <v>0.25</v>
      </c>
    </row>
    <row r="236" spans="1:93" x14ac:dyDescent="0.2">
      <c r="A236" s="1" t="s">
        <v>1027</v>
      </c>
      <c r="B236" s="1" t="s">
        <v>564</v>
      </c>
      <c r="C236" s="1" t="s">
        <v>673</v>
      </c>
      <c r="D236" s="1" t="s">
        <v>322</v>
      </c>
      <c r="E236" s="1" t="s">
        <v>7</v>
      </c>
      <c r="F236" s="1" t="s">
        <v>1022</v>
      </c>
      <c r="G236" s="1" t="s">
        <v>1023</v>
      </c>
      <c r="H236" s="1" t="s">
        <v>1018</v>
      </c>
      <c r="I236" s="1">
        <v>3</v>
      </c>
      <c r="L236" s="1" t="s">
        <v>1012</v>
      </c>
      <c r="M236" s="1" t="s">
        <v>29</v>
      </c>
      <c r="N236" s="6">
        <v>1</v>
      </c>
      <c r="O236" s="6"/>
      <c r="BB236" s="1">
        <v>0.04</v>
      </c>
      <c r="BC236" s="1">
        <v>2.2999999999999998</v>
      </c>
      <c r="BI236" s="1">
        <v>61.6</v>
      </c>
      <c r="BL236" s="1">
        <v>0.25</v>
      </c>
    </row>
    <row r="237" spans="1:93" x14ac:dyDescent="0.2">
      <c r="A237" s="1" t="s">
        <v>1028</v>
      </c>
      <c r="B237" s="1" t="s">
        <v>564</v>
      </c>
      <c r="C237" s="1" t="s">
        <v>673</v>
      </c>
      <c r="D237" s="1" t="s">
        <v>322</v>
      </c>
      <c r="E237" s="1" t="s">
        <v>7</v>
      </c>
      <c r="F237" s="1" t="s">
        <v>1022</v>
      </c>
      <c r="G237" s="1" t="s">
        <v>1023</v>
      </c>
      <c r="H237" s="1" t="s">
        <v>1020</v>
      </c>
      <c r="I237" s="1">
        <v>3</v>
      </c>
      <c r="L237" s="1" t="s">
        <v>1012</v>
      </c>
      <c r="M237" s="1" t="s">
        <v>29</v>
      </c>
      <c r="N237" s="6">
        <v>1</v>
      </c>
      <c r="O237" s="6"/>
      <c r="BB237" s="1">
        <v>0.53</v>
      </c>
      <c r="BC237" s="1">
        <v>3.2</v>
      </c>
      <c r="BI237" s="1">
        <v>61.2</v>
      </c>
      <c r="BL237" s="1">
        <v>0.27</v>
      </c>
    </row>
    <row r="238" spans="1:93" x14ac:dyDescent="0.2">
      <c r="A238" s="1" t="s">
        <v>1029</v>
      </c>
      <c r="B238" s="1" t="s">
        <v>1030</v>
      </c>
      <c r="D238" s="1" t="s">
        <v>516</v>
      </c>
      <c r="E238" s="1" t="s">
        <v>7</v>
      </c>
      <c r="F238" s="1" t="s">
        <v>670</v>
      </c>
      <c r="I238" s="1">
        <v>3</v>
      </c>
      <c r="L238" s="1" t="s">
        <v>1031</v>
      </c>
      <c r="M238" s="1" t="s">
        <v>29</v>
      </c>
      <c r="N238" s="6">
        <v>1</v>
      </c>
      <c r="O238" s="6"/>
      <c r="BV238" s="1">
        <v>2330</v>
      </c>
      <c r="CB238" s="1">
        <v>2830</v>
      </c>
      <c r="CC238" s="1">
        <v>630</v>
      </c>
      <c r="CE238" s="1">
        <v>1370</v>
      </c>
    </row>
    <row r="239" spans="1:93" x14ac:dyDescent="0.2">
      <c r="A239" s="1" t="s">
        <v>1032</v>
      </c>
      <c r="B239" s="1" t="s">
        <v>1030</v>
      </c>
      <c r="D239" s="1" t="s">
        <v>1033</v>
      </c>
      <c r="E239" s="1" t="s">
        <v>11</v>
      </c>
      <c r="F239" s="1" t="s">
        <v>670</v>
      </c>
      <c r="H239" s="1" t="s">
        <v>1034</v>
      </c>
      <c r="I239" s="1">
        <v>3</v>
      </c>
      <c r="L239" s="1" t="s">
        <v>1031</v>
      </c>
      <c r="M239" s="1" t="s">
        <v>29</v>
      </c>
      <c r="N239" s="6">
        <v>1</v>
      </c>
      <c r="O239" s="6"/>
      <c r="BV239" s="1">
        <v>2760</v>
      </c>
      <c r="CB239" s="1">
        <v>3250</v>
      </c>
      <c r="CC239" s="1">
        <v>580</v>
      </c>
      <c r="CE239" s="1">
        <v>450</v>
      </c>
    </row>
    <row r="240" spans="1:93" x14ac:dyDescent="0.2">
      <c r="A240" s="1" t="s">
        <v>1035</v>
      </c>
      <c r="B240" s="1" t="s">
        <v>1030</v>
      </c>
      <c r="D240" s="1" t="s">
        <v>1000</v>
      </c>
      <c r="E240" s="1" t="s">
        <v>11</v>
      </c>
      <c r="F240" s="1" t="s">
        <v>670</v>
      </c>
      <c r="H240" s="1" t="s">
        <v>1036</v>
      </c>
      <c r="I240" s="1">
        <v>3</v>
      </c>
      <c r="L240" s="1" t="s">
        <v>1031</v>
      </c>
      <c r="M240" s="1" t="s">
        <v>29</v>
      </c>
      <c r="N240" s="6">
        <v>1</v>
      </c>
      <c r="O240" s="6"/>
      <c r="BV240" s="1">
        <v>2450</v>
      </c>
      <c r="CB240" s="1">
        <v>3280</v>
      </c>
      <c r="CC240" s="1">
        <v>760</v>
      </c>
      <c r="CE240" s="1">
        <v>580</v>
      </c>
    </row>
    <row r="241" spans="1:91" x14ac:dyDescent="0.2">
      <c r="A241" s="1" t="s">
        <v>1037</v>
      </c>
      <c r="B241" s="1" t="s">
        <v>1030</v>
      </c>
      <c r="D241" s="1" t="s">
        <v>1038</v>
      </c>
      <c r="E241" s="1" t="s">
        <v>7</v>
      </c>
      <c r="F241" s="1" t="s">
        <v>462</v>
      </c>
      <c r="I241" s="1">
        <v>3</v>
      </c>
      <c r="L241" s="1" t="s">
        <v>1031</v>
      </c>
      <c r="M241" s="1" t="s">
        <v>29</v>
      </c>
      <c r="N241" s="6">
        <v>1</v>
      </c>
      <c r="O241" s="6"/>
      <c r="BV241" s="1">
        <v>8900</v>
      </c>
      <c r="CB241" s="1">
        <v>9500</v>
      </c>
      <c r="CC241" s="1">
        <v>2360</v>
      </c>
      <c r="CE241" s="1">
        <v>7400</v>
      </c>
    </row>
    <row r="242" spans="1:91" x14ac:dyDescent="0.2">
      <c r="A242" s="1" t="s">
        <v>1039</v>
      </c>
      <c r="B242" s="1" t="s">
        <v>1030</v>
      </c>
      <c r="D242" s="1" t="s">
        <v>1040</v>
      </c>
      <c r="E242" s="1" t="s">
        <v>11</v>
      </c>
      <c r="F242" s="1" t="s">
        <v>462</v>
      </c>
      <c r="H242" s="1" t="s">
        <v>1034</v>
      </c>
      <c r="I242" s="1">
        <v>3</v>
      </c>
      <c r="L242" s="1" t="s">
        <v>1031</v>
      </c>
      <c r="M242" s="1" t="s">
        <v>29</v>
      </c>
      <c r="N242" s="6">
        <v>1</v>
      </c>
      <c r="O242" s="6"/>
      <c r="BV242" s="1">
        <v>9860</v>
      </c>
      <c r="CB242" s="1">
        <v>10600</v>
      </c>
      <c r="CC242" s="1">
        <v>2470</v>
      </c>
      <c r="CE242" s="1">
        <v>4900</v>
      </c>
    </row>
    <row r="243" spans="1:91" x14ac:dyDescent="0.2">
      <c r="A243" s="1" t="s">
        <v>1041</v>
      </c>
      <c r="B243" s="1" t="s">
        <v>1030</v>
      </c>
      <c r="D243" s="1" t="s">
        <v>1042</v>
      </c>
      <c r="E243" s="1" t="s">
        <v>11</v>
      </c>
      <c r="F243" s="1" t="s">
        <v>462</v>
      </c>
      <c r="H243" s="1" t="s">
        <v>1043</v>
      </c>
      <c r="I243" s="1">
        <v>3</v>
      </c>
      <c r="L243" s="1" t="s">
        <v>1031</v>
      </c>
      <c r="M243" s="1" t="s">
        <v>29</v>
      </c>
      <c r="N243" s="6">
        <v>1</v>
      </c>
      <c r="O243" s="6"/>
      <c r="BV243" s="1">
        <v>9100</v>
      </c>
      <c r="CB243" s="1">
        <v>8730</v>
      </c>
      <c r="CC243" s="1">
        <v>2260</v>
      </c>
      <c r="CE243" s="1">
        <v>4800</v>
      </c>
    </row>
    <row r="244" spans="1:91" x14ac:dyDescent="0.2">
      <c r="A244" s="1" t="s">
        <v>1044</v>
      </c>
      <c r="B244" s="1" t="s">
        <v>1002</v>
      </c>
      <c r="C244" s="1" t="s">
        <v>810</v>
      </c>
      <c r="D244" s="1" t="s">
        <v>322</v>
      </c>
      <c r="E244" s="1" t="s">
        <v>7</v>
      </c>
      <c r="F244" s="1" t="s">
        <v>811</v>
      </c>
      <c r="L244" s="1" t="s">
        <v>1045</v>
      </c>
      <c r="M244" s="1" t="s">
        <v>29</v>
      </c>
      <c r="N244" s="6">
        <v>1</v>
      </c>
      <c r="O244" s="6"/>
      <c r="S244" s="1">
        <v>42</v>
      </c>
      <c r="CM244" s="1">
        <v>25.7</v>
      </c>
    </row>
    <row r="245" spans="1:91" x14ac:dyDescent="0.2">
      <c r="A245" s="1" t="s">
        <v>1046</v>
      </c>
      <c r="B245" s="1" t="s">
        <v>1002</v>
      </c>
      <c r="C245" s="1" t="s">
        <v>810</v>
      </c>
      <c r="D245" s="1" t="s">
        <v>325</v>
      </c>
      <c r="E245" s="1" t="s">
        <v>11</v>
      </c>
      <c r="F245" s="1" t="s">
        <v>811</v>
      </c>
      <c r="H245" s="1" t="s">
        <v>1047</v>
      </c>
      <c r="L245" s="1" t="s">
        <v>1045</v>
      </c>
      <c r="M245" s="1" t="s">
        <v>29</v>
      </c>
      <c r="N245" s="6">
        <v>1</v>
      </c>
      <c r="O245" s="6"/>
      <c r="S245" s="1">
        <v>42</v>
      </c>
      <c r="CM245" s="1">
        <v>19.899999999999999</v>
      </c>
    </row>
    <row r="246" spans="1:91" x14ac:dyDescent="0.2">
      <c r="A246" s="1" t="s">
        <v>1048</v>
      </c>
      <c r="B246" s="1" t="s">
        <v>1002</v>
      </c>
      <c r="C246" s="1" t="s">
        <v>810</v>
      </c>
      <c r="D246" s="1" t="s">
        <v>325</v>
      </c>
      <c r="E246" s="1" t="s">
        <v>11</v>
      </c>
      <c r="F246" s="1" t="s">
        <v>811</v>
      </c>
      <c r="H246" s="1" t="s">
        <v>1049</v>
      </c>
      <c r="L246" s="1" t="s">
        <v>1045</v>
      </c>
      <c r="M246" s="1" t="s">
        <v>29</v>
      </c>
      <c r="N246" s="6">
        <v>1</v>
      </c>
      <c r="O246" s="6"/>
      <c r="S246" s="1">
        <v>42</v>
      </c>
      <c r="CM246" s="1">
        <v>15.9</v>
      </c>
    </row>
    <row r="247" spans="1:91" x14ac:dyDescent="0.2">
      <c r="A247" s="1" t="s">
        <v>1050</v>
      </c>
      <c r="B247" s="1" t="s">
        <v>1002</v>
      </c>
      <c r="C247" s="1" t="s">
        <v>810</v>
      </c>
      <c r="D247" s="1" t="s">
        <v>325</v>
      </c>
      <c r="E247" s="1" t="s">
        <v>11</v>
      </c>
      <c r="F247" s="1" t="s">
        <v>811</v>
      </c>
      <c r="H247" s="1" t="s">
        <v>1051</v>
      </c>
      <c r="L247" s="1" t="s">
        <v>1045</v>
      </c>
      <c r="M247" s="1" t="s">
        <v>29</v>
      </c>
      <c r="N247" s="6">
        <v>1</v>
      </c>
      <c r="O247" s="6"/>
      <c r="S247" s="1">
        <v>42</v>
      </c>
      <c r="CM247" s="1">
        <v>10.5</v>
      </c>
    </row>
    <row r="248" spans="1:91" x14ac:dyDescent="0.2">
      <c r="A248" s="1" t="s">
        <v>1052</v>
      </c>
      <c r="B248" s="1" t="s">
        <v>1002</v>
      </c>
      <c r="D248" s="1" t="s">
        <v>1053</v>
      </c>
      <c r="E248" s="1" t="s">
        <v>7</v>
      </c>
      <c r="F248" s="1" t="s">
        <v>1054</v>
      </c>
      <c r="L248" s="1" t="s">
        <v>1045</v>
      </c>
      <c r="M248" s="1" t="s">
        <v>29</v>
      </c>
      <c r="N248" s="6">
        <v>1</v>
      </c>
      <c r="O248" s="6"/>
      <c r="S248" s="1">
        <v>29</v>
      </c>
      <c r="CM248" s="1">
        <v>34.4</v>
      </c>
    </row>
    <row r="249" spans="1:91" x14ac:dyDescent="0.2">
      <c r="A249" s="1" t="s">
        <v>1055</v>
      </c>
      <c r="B249" s="1" t="s">
        <v>1002</v>
      </c>
      <c r="D249" s="1" t="s">
        <v>1056</v>
      </c>
      <c r="E249" s="1" t="s">
        <v>11</v>
      </c>
      <c r="F249" s="1" t="s">
        <v>1054</v>
      </c>
      <c r="H249" s="1" t="s">
        <v>1047</v>
      </c>
      <c r="L249" s="1" t="s">
        <v>1045</v>
      </c>
      <c r="M249" s="1" t="s">
        <v>29</v>
      </c>
      <c r="N249" s="6">
        <v>1</v>
      </c>
      <c r="O249" s="6"/>
      <c r="S249" s="1">
        <v>29</v>
      </c>
      <c r="CM249" s="1">
        <v>27.7</v>
      </c>
    </row>
    <row r="250" spans="1:91" x14ac:dyDescent="0.2">
      <c r="A250" s="1" t="s">
        <v>1057</v>
      </c>
      <c r="B250" s="1" t="s">
        <v>1002</v>
      </c>
      <c r="D250" s="1" t="s">
        <v>1056</v>
      </c>
      <c r="E250" s="1" t="s">
        <v>11</v>
      </c>
      <c r="F250" s="1" t="s">
        <v>1054</v>
      </c>
      <c r="H250" s="1" t="s">
        <v>1049</v>
      </c>
      <c r="L250" s="1" t="s">
        <v>1045</v>
      </c>
      <c r="M250" s="1" t="s">
        <v>29</v>
      </c>
      <c r="N250" s="6">
        <v>1</v>
      </c>
      <c r="O250" s="6"/>
      <c r="S250" s="1">
        <v>29</v>
      </c>
      <c r="CM250" s="1">
        <v>19.899999999999999</v>
      </c>
    </row>
    <row r="251" spans="1:91" x14ac:dyDescent="0.2">
      <c r="A251" s="1" t="s">
        <v>1058</v>
      </c>
      <c r="B251" s="1" t="s">
        <v>1002</v>
      </c>
      <c r="D251" s="1" t="s">
        <v>1059</v>
      </c>
      <c r="E251" s="1" t="s">
        <v>11</v>
      </c>
      <c r="F251" s="1" t="s">
        <v>1054</v>
      </c>
      <c r="H251" s="1" t="s">
        <v>1051</v>
      </c>
      <c r="L251" s="1" t="s">
        <v>1045</v>
      </c>
      <c r="M251" s="1" t="s">
        <v>29</v>
      </c>
      <c r="N251" s="6">
        <v>1</v>
      </c>
      <c r="O251" s="6"/>
      <c r="S251" s="1">
        <v>29</v>
      </c>
      <c r="CM251" s="1">
        <v>6.8</v>
      </c>
    </row>
    <row r="252" spans="1:91" s="12" customFormat="1" x14ac:dyDescent="0.2">
      <c r="A252" s="11" t="s">
        <v>6513</v>
      </c>
      <c r="B252" s="12" t="s">
        <v>6195</v>
      </c>
      <c r="D252" s="12" t="s">
        <v>6335</v>
      </c>
      <c r="E252" s="12" t="s">
        <v>11</v>
      </c>
      <c r="F252" s="12" t="s">
        <v>6336</v>
      </c>
      <c r="G252" s="12" t="s">
        <v>6198</v>
      </c>
      <c r="J252" s="12" t="s">
        <v>6199</v>
      </c>
      <c r="K252" s="12">
        <v>1989</v>
      </c>
      <c r="L252" s="12" t="s">
        <v>6200</v>
      </c>
      <c r="M252" s="12" t="s">
        <v>6201</v>
      </c>
      <c r="N252" s="12">
        <v>1.1000000000000001</v>
      </c>
      <c r="R252" s="12">
        <v>78</v>
      </c>
      <c r="AX252" s="14">
        <v>178</v>
      </c>
      <c r="AY252" s="14"/>
      <c r="BB252" s="12">
        <v>0.05</v>
      </c>
      <c r="BD252" s="12">
        <v>304</v>
      </c>
      <c r="BE252" s="13">
        <v>75</v>
      </c>
      <c r="BF252" s="12">
        <v>0.92</v>
      </c>
      <c r="BG252" s="12">
        <v>13</v>
      </c>
      <c r="BI252" s="12">
        <v>94</v>
      </c>
      <c r="BL252" s="12">
        <v>1.2</v>
      </c>
    </row>
    <row r="253" spans="1:91" s="12" customFormat="1" x14ac:dyDescent="0.2">
      <c r="A253" s="11" t="s">
        <v>6514</v>
      </c>
      <c r="B253" s="12" t="s">
        <v>6195</v>
      </c>
      <c r="D253" s="12" t="s">
        <v>6337</v>
      </c>
      <c r="E253" s="12" t="s">
        <v>11</v>
      </c>
      <c r="F253" s="12" t="s">
        <v>6338</v>
      </c>
      <c r="G253" s="12" t="s">
        <v>6198</v>
      </c>
      <c r="J253" s="12" t="s">
        <v>6199</v>
      </c>
      <c r="K253" s="12">
        <v>1989</v>
      </c>
      <c r="L253" s="12" t="s">
        <v>6200</v>
      </c>
      <c r="M253" s="12" t="s">
        <v>6201</v>
      </c>
      <c r="N253" s="12">
        <v>1.1000000000000001</v>
      </c>
      <c r="R253" s="12">
        <v>95</v>
      </c>
      <c r="AX253" s="14">
        <v>84</v>
      </c>
      <c r="AY253" s="14"/>
      <c r="BB253" s="12">
        <v>0.06</v>
      </c>
      <c r="BD253" s="12">
        <v>167</v>
      </c>
      <c r="BE253" s="13">
        <v>15</v>
      </c>
      <c r="BF253" s="12">
        <v>0.2</v>
      </c>
      <c r="BG253" s="12">
        <v>9</v>
      </c>
      <c r="BI253" s="12">
        <v>22</v>
      </c>
      <c r="BL253" s="12">
        <v>0.6</v>
      </c>
    </row>
    <row r="254" spans="1:91" s="12" customFormat="1" x14ac:dyDescent="0.2">
      <c r="A254" s="11" t="s">
        <v>6515</v>
      </c>
      <c r="B254" s="12" t="s">
        <v>6195</v>
      </c>
      <c r="D254" s="12" t="s">
        <v>6339</v>
      </c>
      <c r="E254" s="12" t="s">
        <v>11</v>
      </c>
      <c r="F254" s="12" t="s">
        <v>6340</v>
      </c>
      <c r="G254" s="12" t="s">
        <v>6198</v>
      </c>
      <c r="J254" s="12" t="s">
        <v>6199</v>
      </c>
      <c r="K254" s="12">
        <v>1989</v>
      </c>
      <c r="L254" s="12" t="s">
        <v>6200</v>
      </c>
      <c r="M254" s="12" t="s">
        <v>6201</v>
      </c>
      <c r="N254" s="12">
        <v>1.1000000000000001</v>
      </c>
      <c r="R254" s="12">
        <v>89</v>
      </c>
      <c r="AX254" s="14">
        <v>142</v>
      </c>
      <c r="AY254" s="14"/>
      <c r="BB254" s="12">
        <v>0.2</v>
      </c>
      <c r="BD254" s="12">
        <v>170</v>
      </c>
      <c r="BE254" s="13">
        <v>75</v>
      </c>
      <c r="BF254" s="12">
        <v>1.23</v>
      </c>
      <c r="BG254" s="12">
        <v>10</v>
      </c>
      <c r="BI254" s="12">
        <v>82</v>
      </c>
      <c r="BL254" s="12">
        <v>0.7</v>
      </c>
    </row>
    <row r="255" spans="1:91" s="12" customFormat="1" x14ac:dyDescent="0.2">
      <c r="A255" s="11" t="s">
        <v>6516</v>
      </c>
      <c r="B255" s="12" t="s">
        <v>6195</v>
      </c>
      <c r="D255" s="12" t="s">
        <v>6341</v>
      </c>
      <c r="E255" s="12" t="s">
        <v>11</v>
      </c>
      <c r="F255" s="12" t="s">
        <v>6340</v>
      </c>
      <c r="G255" s="12" t="s">
        <v>6198</v>
      </c>
      <c r="J255" s="12" t="s">
        <v>6199</v>
      </c>
      <c r="K255" s="12">
        <v>1989</v>
      </c>
      <c r="L255" s="12" t="s">
        <v>6200</v>
      </c>
      <c r="M255" s="12" t="s">
        <v>6201</v>
      </c>
      <c r="N255" s="12">
        <v>1.1000000000000001</v>
      </c>
      <c r="R255" s="12">
        <v>84</v>
      </c>
      <c r="AX255" s="14">
        <v>35</v>
      </c>
      <c r="AY255" s="14"/>
      <c r="BB255" s="12">
        <v>0.1</v>
      </c>
      <c r="BD255" s="12">
        <v>358</v>
      </c>
      <c r="BE255" s="13">
        <v>32</v>
      </c>
      <c r="BF255" s="12">
        <v>0.03</v>
      </c>
      <c r="BG255" s="12">
        <v>8</v>
      </c>
      <c r="BI255" s="12">
        <v>44</v>
      </c>
      <c r="BL255" s="12">
        <v>0.2</v>
      </c>
    </row>
    <row r="256" spans="1:91" s="12" customFormat="1" x14ac:dyDescent="0.2">
      <c r="A256" s="11" t="s">
        <v>6517</v>
      </c>
      <c r="B256" s="12" t="s">
        <v>6195</v>
      </c>
      <c r="D256" s="12" t="s">
        <v>6342</v>
      </c>
      <c r="E256" s="12" t="s">
        <v>11</v>
      </c>
      <c r="F256" s="12" t="s">
        <v>6343</v>
      </c>
      <c r="G256" s="12" t="s">
        <v>6198</v>
      </c>
      <c r="J256" s="12" t="s">
        <v>6199</v>
      </c>
      <c r="K256" s="12">
        <v>1989</v>
      </c>
      <c r="L256" s="12" t="s">
        <v>6200</v>
      </c>
      <c r="M256" s="12" t="s">
        <v>6201</v>
      </c>
      <c r="N256" s="12">
        <v>1.1000000000000001</v>
      </c>
      <c r="R256" s="12">
        <v>84</v>
      </c>
      <c r="AX256" s="14">
        <v>372</v>
      </c>
      <c r="AY256" s="14"/>
      <c r="BB256" s="12">
        <v>0.1</v>
      </c>
      <c r="BD256" s="12">
        <v>443</v>
      </c>
      <c r="BE256" s="13">
        <v>135</v>
      </c>
      <c r="BF256" s="12">
        <v>1.88</v>
      </c>
      <c r="BG256" s="12">
        <v>24</v>
      </c>
      <c r="BI256" s="12">
        <v>68</v>
      </c>
      <c r="BL256" s="12">
        <v>1.3</v>
      </c>
    </row>
    <row r="257" spans="1:166" s="12" customFormat="1" x14ac:dyDescent="0.2">
      <c r="A257" s="11" t="s">
        <v>6518</v>
      </c>
      <c r="B257" s="12" t="s">
        <v>6195</v>
      </c>
      <c r="D257" s="12" t="s">
        <v>6344</v>
      </c>
      <c r="E257" s="12" t="s">
        <v>11</v>
      </c>
      <c r="F257" s="12" t="s">
        <v>6345</v>
      </c>
      <c r="G257" s="12" t="s">
        <v>6198</v>
      </c>
      <c r="J257" s="12" t="s">
        <v>6199</v>
      </c>
      <c r="K257" s="12">
        <v>1989</v>
      </c>
      <c r="L257" s="12" t="s">
        <v>6200</v>
      </c>
      <c r="M257" s="12" t="s">
        <v>6201</v>
      </c>
      <c r="N257" s="12">
        <v>1.1000000000000001</v>
      </c>
      <c r="R257" s="12">
        <v>79</v>
      </c>
      <c r="AX257" s="14">
        <v>514</v>
      </c>
      <c r="AY257" s="14"/>
      <c r="BB257" s="12">
        <v>0.2</v>
      </c>
      <c r="BD257" s="12">
        <v>317</v>
      </c>
      <c r="BE257" s="13">
        <v>74</v>
      </c>
      <c r="BF257" s="12">
        <v>2.4700000000000002</v>
      </c>
      <c r="BG257" s="12">
        <v>23</v>
      </c>
      <c r="BI257" s="12">
        <v>116</v>
      </c>
      <c r="BL257" s="12">
        <v>1.8</v>
      </c>
    </row>
    <row r="258" spans="1:166" s="12" customFormat="1" x14ac:dyDescent="0.2">
      <c r="A258" s="11" t="s">
        <v>6519</v>
      </c>
      <c r="B258" s="12" t="s">
        <v>6195</v>
      </c>
      <c r="D258" s="12" t="s">
        <v>6346</v>
      </c>
      <c r="E258" s="12" t="s">
        <v>7</v>
      </c>
      <c r="F258" s="12" t="s">
        <v>6347</v>
      </c>
      <c r="G258" s="12" t="s">
        <v>6198</v>
      </c>
      <c r="J258" s="12" t="s">
        <v>6199</v>
      </c>
      <c r="K258" s="12">
        <v>1989</v>
      </c>
      <c r="L258" s="12" t="s">
        <v>6200</v>
      </c>
      <c r="M258" s="12" t="s">
        <v>6201</v>
      </c>
      <c r="N258" s="12">
        <v>1.1000000000000001</v>
      </c>
      <c r="R258" s="12">
        <v>84</v>
      </c>
      <c r="AX258" s="14">
        <v>104</v>
      </c>
      <c r="AY258" s="14"/>
      <c r="BD258" s="12">
        <v>382</v>
      </c>
      <c r="BE258" s="13">
        <v>77</v>
      </c>
      <c r="BG258" s="12">
        <v>11</v>
      </c>
      <c r="BI258" s="12">
        <v>95</v>
      </c>
    </row>
    <row r="259" spans="1:166" s="12" customFormat="1" x14ac:dyDescent="0.2">
      <c r="A259" s="11" t="s">
        <v>6520</v>
      </c>
      <c r="B259" s="12" t="s">
        <v>6267</v>
      </c>
      <c r="D259" s="12" t="s">
        <v>6348</v>
      </c>
      <c r="E259" s="12" t="s">
        <v>7</v>
      </c>
      <c r="F259" s="12" t="s">
        <v>6349</v>
      </c>
      <c r="G259" s="12" t="s">
        <v>6198</v>
      </c>
      <c r="J259" s="12" t="s">
        <v>6199</v>
      </c>
      <c r="K259" s="12">
        <v>1989</v>
      </c>
      <c r="L259" s="12" t="s">
        <v>6200</v>
      </c>
      <c r="M259" s="12" t="s">
        <v>6201</v>
      </c>
      <c r="N259" s="12">
        <v>1.1000000000000001</v>
      </c>
      <c r="R259" s="12">
        <v>87</v>
      </c>
      <c r="AX259" s="12">
        <v>5</v>
      </c>
      <c r="BB259" s="12">
        <v>0.19</v>
      </c>
      <c r="BD259" s="12">
        <v>599</v>
      </c>
      <c r="BE259" s="13">
        <v>56</v>
      </c>
      <c r="BF259" s="12">
        <v>0.5</v>
      </c>
      <c r="BG259" s="12">
        <v>7</v>
      </c>
      <c r="BI259" s="12">
        <v>109</v>
      </c>
      <c r="BL259" s="12">
        <v>1.18</v>
      </c>
    </row>
    <row r="260" spans="1:166" s="12" customFormat="1" x14ac:dyDescent="0.2">
      <c r="A260" s="11" t="s">
        <v>6521</v>
      </c>
      <c r="B260" s="12" t="s">
        <v>6267</v>
      </c>
      <c r="D260" s="12" t="s">
        <v>6350</v>
      </c>
      <c r="E260" s="12" t="s">
        <v>7</v>
      </c>
      <c r="F260" s="12" t="s">
        <v>607</v>
      </c>
      <c r="G260" s="12" t="s">
        <v>6198</v>
      </c>
      <c r="J260" s="12" t="s">
        <v>6199</v>
      </c>
      <c r="K260" s="12">
        <v>1989</v>
      </c>
      <c r="L260" s="12" t="s">
        <v>6200</v>
      </c>
      <c r="M260" s="12" t="s">
        <v>6201</v>
      </c>
      <c r="N260" s="12">
        <v>1.1000000000000001</v>
      </c>
      <c r="R260" s="12">
        <v>90</v>
      </c>
      <c r="BB260" s="12">
        <v>0.1</v>
      </c>
      <c r="BE260" s="13"/>
      <c r="BF260" s="12">
        <v>0.97</v>
      </c>
      <c r="BL260" s="12">
        <v>0.69</v>
      </c>
    </row>
    <row r="261" spans="1:166" s="12" customFormat="1" x14ac:dyDescent="0.2">
      <c r="A261" s="11" t="s">
        <v>6522</v>
      </c>
      <c r="B261" s="12" t="s">
        <v>6267</v>
      </c>
      <c r="D261" s="12" t="s">
        <v>6351</v>
      </c>
      <c r="E261" s="12" t="s">
        <v>7</v>
      </c>
      <c r="F261" s="12" t="s">
        <v>6352</v>
      </c>
      <c r="G261" s="12" t="s">
        <v>6198</v>
      </c>
      <c r="J261" s="12" t="s">
        <v>6199</v>
      </c>
      <c r="K261" s="12">
        <v>1989</v>
      </c>
      <c r="L261" s="12" t="s">
        <v>6200</v>
      </c>
      <c r="M261" s="12" t="s">
        <v>6201</v>
      </c>
      <c r="N261" s="12">
        <v>1.1000000000000001</v>
      </c>
      <c r="R261" s="12">
        <v>74</v>
      </c>
      <c r="AX261" s="12">
        <v>144</v>
      </c>
      <c r="BB261" s="12">
        <v>0.16</v>
      </c>
      <c r="BD261" s="12">
        <v>642</v>
      </c>
      <c r="BE261" s="13">
        <v>80</v>
      </c>
      <c r="BF261" s="12">
        <v>3.92</v>
      </c>
      <c r="BG261" s="12">
        <v>10</v>
      </c>
      <c r="BI261" s="12">
        <v>121</v>
      </c>
      <c r="BL261" s="12">
        <v>0.95</v>
      </c>
    </row>
    <row r="262" spans="1:166" s="12" customFormat="1" x14ac:dyDescent="0.2">
      <c r="A262" s="11" t="s">
        <v>6523</v>
      </c>
      <c r="B262" s="12" t="s">
        <v>6267</v>
      </c>
      <c r="D262" s="12" t="s">
        <v>6353</v>
      </c>
      <c r="E262" s="12" t="s">
        <v>7</v>
      </c>
      <c r="F262" s="12" t="s">
        <v>6354</v>
      </c>
      <c r="G262" s="12" t="s">
        <v>6198</v>
      </c>
      <c r="J262" s="12" t="s">
        <v>6199</v>
      </c>
      <c r="K262" s="12">
        <v>1989</v>
      </c>
      <c r="L262" s="12" t="s">
        <v>6200</v>
      </c>
      <c r="M262" s="12" t="s">
        <v>6201</v>
      </c>
      <c r="N262" s="12">
        <v>1.1000000000000001</v>
      </c>
      <c r="R262" s="12">
        <v>85</v>
      </c>
      <c r="AX262" s="12">
        <v>260</v>
      </c>
      <c r="BB262" s="12">
        <v>0.2</v>
      </c>
      <c r="BD262" s="12">
        <v>447</v>
      </c>
      <c r="BE262" s="13">
        <v>156</v>
      </c>
      <c r="BF262" s="12">
        <v>1.51</v>
      </c>
      <c r="BG262" s="12">
        <v>10</v>
      </c>
      <c r="BI262" s="12">
        <v>55</v>
      </c>
      <c r="BL262" s="12">
        <v>1.31</v>
      </c>
    </row>
    <row r="263" spans="1:166" s="12" customFormat="1" x14ac:dyDescent="0.2">
      <c r="A263" s="11" t="s">
        <v>6524</v>
      </c>
      <c r="B263" s="12" t="s">
        <v>6267</v>
      </c>
      <c r="D263" s="12" t="s">
        <v>6355</v>
      </c>
      <c r="E263" s="12" t="s">
        <v>7</v>
      </c>
      <c r="F263" s="12" t="s">
        <v>6356</v>
      </c>
      <c r="G263" s="12" t="s">
        <v>6198</v>
      </c>
      <c r="J263" s="12" t="s">
        <v>6199</v>
      </c>
      <c r="K263" s="12">
        <v>1989</v>
      </c>
      <c r="L263" s="12" t="s">
        <v>6200</v>
      </c>
      <c r="M263" s="12" t="s">
        <v>6201</v>
      </c>
      <c r="N263" s="12">
        <v>1.1000000000000001</v>
      </c>
      <c r="R263" s="12">
        <v>89</v>
      </c>
      <c r="BB263" s="12">
        <v>0.16</v>
      </c>
      <c r="BE263" s="13"/>
      <c r="BF263" s="12">
        <v>0.33</v>
      </c>
      <c r="BL263" s="12">
        <v>0.65</v>
      </c>
    </row>
    <row r="264" spans="1:166" s="12" customFormat="1" x14ac:dyDescent="0.2">
      <c r="A264" s="11" t="s">
        <v>6525</v>
      </c>
      <c r="B264" s="12" t="s">
        <v>6267</v>
      </c>
      <c r="D264" s="12" t="s">
        <v>6357</v>
      </c>
      <c r="E264" s="12" t="s">
        <v>7</v>
      </c>
      <c r="F264" s="12" t="s">
        <v>6358</v>
      </c>
      <c r="G264" s="12" t="s">
        <v>6198</v>
      </c>
      <c r="J264" s="12" t="s">
        <v>6199</v>
      </c>
      <c r="K264" s="12">
        <v>1989</v>
      </c>
      <c r="L264" s="12" t="s">
        <v>6200</v>
      </c>
      <c r="M264" s="12" t="s">
        <v>6201</v>
      </c>
      <c r="N264" s="12">
        <v>1.1000000000000001</v>
      </c>
      <c r="R264" s="12">
        <v>41</v>
      </c>
      <c r="AX264" s="12">
        <v>9</v>
      </c>
      <c r="BB264" s="12">
        <v>0.01</v>
      </c>
      <c r="BD264" s="12">
        <v>16</v>
      </c>
      <c r="BE264" s="13">
        <v>8</v>
      </c>
      <c r="BF264" s="12">
        <v>0.57999999999999996</v>
      </c>
      <c r="BG264" s="14" t="s">
        <v>6202</v>
      </c>
      <c r="BH264" s="14"/>
      <c r="BI264" s="12">
        <v>7</v>
      </c>
      <c r="BL264" s="12">
        <v>0.08</v>
      </c>
    </row>
    <row r="265" spans="1:166" s="12" customFormat="1" x14ac:dyDescent="0.2">
      <c r="A265" s="11" t="s">
        <v>6526</v>
      </c>
      <c r="B265" s="12" t="s">
        <v>6195</v>
      </c>
      <c r="C265" s="12" t="s">
        <v>6397</v>
      </c>
      <c r="D265" s="12" t="s">
        <v>6482</v>
      </c>
      <c r="E265" s="12" t="s">
        <v>11</v>
      </c>
      <c r="F265" s="12" t="s">
        <v>6398</v>
      </c>
      <c r="H265" s="12" t="s">
        <v>6483</v>
      </c>
      <c r="I265" s="12">
        <v>1</v>
      </c>
      <c r="J265" s="12" t="s">
        <v>6484</v>
      </c>
      <c r="K265" s="12">
        <v>1988</v>
      </c>
      <c r="L265" s="12" t="s">
        <v>6400</v>
      </c>
      <c r="M265" s="12" t="s">
        <v>6201</v>
      </c>
      <c r="N265" s="12">
        <v>1.1000000000000001</v>
      </c>
      <c r="R265" s="12">
        <v>78</v>
      </c>
      <c r="AX265" s="12">
        <v>178</v>
      </c>
      <c r="BL265" s="12">
        <v>1.2</v>
      </c>
      <c r="ES265" s="12">
        <v>42</v>
      </c>
    </row>
    <row r="266" spans="1:166" s="12" customFormat="1" x14ac:dyDescent="0.2">
      <c r="A266" s="11" t="s">
        <v>6527</v>
      </c>
      <c r="B266" s="12" t="s">
        <v>6485</v>
      </c>
      <c r="D266" s="12" t="s">
        <v>6486</v>
      </c>
      <c r="E266" s="12" t="s">
        <v>7</v>
      </c>
      <c r="F266" s="12" t="s">
        <v>6294</v>
      </c>
      <c r="H266" s="12" t="s">
        <v>6487</v>
      </c>
      <c r="I266" s="12">
        <v>3</v>
      </c>
      <c r="J266" s="12" t="s">
        <v>6488</v>
      </c>
      <c r="K266" s="12">
        <v>2013</v>
      </c>
      <c r="L266" s="12" t="s">
        <v>6489</v>
      </c>
      <c r="M266" s="12" t="s">
        <v>6201</v>
      </c>
      <c r="N266" s="12">
        <v>1.1000000000000001</v>
      </c>
      <c r="P266" s="21"/>
      <c r="Q266" s="13">
        <f>0.3157*224.35</f>
        <v>70.827294999999992</v>
      </c>
      <c r="R266" s="12">
        <v>68.430000000000007</v>
      </c>
      <c r="X266" s="20">
        <f>0.3157*23.39</f>
        <v>7.3842229999999995</v>
      </c>
      <c r="Y266" s="20"/>
      <c r="AA266" s="20">
        <f>0.3157*4.09</f>
        <v>1.2912129999999999</v>
      </c>
      <c r="AB266" s="20"/>
      <c r="AC266" s="20"/>
      <c r="AD266" s="20"/>
      <c r="AE266" s="20">
        <f>0.3157*37.23</f>
        <v>11.753510999999998</v>
      </c>
      <c r="AF266" s="20"/>
      <c r="AG266" s="20"/>
      <c r="AO266" s="20">
        <f>0.3157*26.23</f>
        <v>8.2808109999999999</v>
      </c>
      <c r="AW266" s="20">
        <f>0.3157*9.03</f>
        <v>2.8507709999999995</v>
      </c>
      <c r="AX266" s="14" t="s">
        <v>6490</v>
      </c>
      <c r="AY266" s="14"/>
      <c r="BC266" s="21">
        <f>0.3157*57.79</f>
        <v>18.244302999999999</v>
      </c>
      <c r="BD266" s="21">
        <f>0.3157*2472</f>
        <v>780.41039999999998</v>
      </c>
      <c r="BE266" s="26" t="s">
        <v>6491</v>
      </c>
      <c r="BF266" s="21"/>
      <c r="BG266" s="21"/>
      <c r="BH266" s="21"/>
      <c r="BI266" s="21">
        <f>0.3157*781.4</f>
        <v>246.68797999999998</v>
      </c>
      <c r="BJ266" s="21"/>
      <c r="BK266" s="21"/>
      <c r="BM266" s="20"/>
      <c r="CK266" s="21"/>
      <c r="CL266" s="12">
        <f>0.3157*48</f>
        <v>15.153599999999999</v>
      </c>
      <c r="CM266" s="21"/>
      <c r="ER266" s="12">
        <f>0.3157*800</f>
        <v>252.55999999999997</v>
      </c>
      <c r="ES266" s="12">
        <f>0.3157*37</f>
        <v>11.680899999999999</v>
      </c>
      <c r="FF266" s="12">
        <f>0.3157*66</f>
        <v>20.836199999999998</v>
      </c>
      <c r="FI266" s="21">
        <f>0.3157*35*1000</f>
        <v>11049.5</v>
      </c>
      <c r="FJ266" s="21">
        <v>5.88</v>
      </c>
    </row>
    <row r="267" spans="1:166" s="12" customFormat="1" x14ac:dyDescent="0.2">
      <c r="A267" s="11" t="s">
        <v>6528</v>
      </c>
      <c r="B267" s="12" t="s">
        <v>6492</v>
      </c>
      <c r="D267" s="12" t="s">
        <v>6493</v>
      </c>
      <c r="E267" s="12" t="s">
        <v>7</v>
      </c>
      <c r="F267" s="12" t="s">
        <v>6294</v>
      </c>
      <c r="H267" s="12" t="s">
        <v>6494</v>
      </c>
      <c r="J267" s="12" t="s">
        <v>6495</v>
      </c>
      <c r="K267" s="12">
        <v>2014</v>
      </c>
      <c r="L267" s="12" t="s">
        <v>6496</v>
      </c>
      <c r="M267" s="12" t="s">
        <v>6201</v>
      </c>
      <c r="N267" s="12">
        <v>1.1000000000000001</v>
      </c>
      <c r="P267" s="21"/>
      <c r="Q267" s="13">
        <f>(100-R267)/100*224.35</f>
        <v>70.827294999999978</v>
      </c>
      <c r="R267" s="12">
        <v>68.430000000000007</v>
      </c>
      <c r="X267" s="20">
        <f>(100-R267)/100*23.39</f>
        <v>7.3842229999999986</v>
      </c>
      <c r="Y267" s="20"/>
      <c r="AA267" s="20">
        <f>(100-R267)/100*4.09</f>
        <v>1.2912129999999997</v>
      </c>
      <c r="AB267" s="20"/>
      <c r="AC267" s="20"/>
      <c r="AD267" s="20"/>
      <c r="AE267" s="20">
        <f>(100-R267)/100*37.27</f>
        <v>11.766138999999999</v>
      </c>
      <c r="AF267" s="20"/>
      <c r="AG267" s="20"/>
      <c r="AO267" s="20">
        <f>(100-R267)/100*26.23</f>
        <v>8.2808109999999981</v>
      </c>
      <c r="AW267" s="20">
        <f>(100-R267)/100*9.03</f>
        <v>2.8507709999999991</v>
      </c>
      <c r="AX267" s="21">
        <f>(100-R267)/100*296.66</f>
        <v>93.655561999999989</v>
      </c>
      <c r="AY267" s="21"/>
      <c r="BB267" s="21"/>
      <c r="BC267" s="21">
        <f>(100-R267)/100*48.69</f>
        <v>15.371432999999996</v>
      </c>
      <c r="BD267" s="21">
        <f>(100-R267)/100*2306.09</f>
        <v>728.03261299999986</v>
      </c>
      <c r="BE267" s="21">
        <f>(100-R267)/100*229.45</f>
        <v>72.437364999999986</v>
      </c>
      <c r="BF267" s="21"/>
      <c r="BG267" s="21">
        <f>(100-R267)/100*18.3</f>
        <v>5.7773099999999991</v>
      </c>
      <c r="BH267" s="21"/>
      <c r="BI267" s="21">
        <f>(100-R267)/100*759.81</f>
        <v>239.87201699999991</v>
      </c>
      <c r="BJ267" s="21"/>
      <c r="BK267" s="21"/>
      <c r="BL267" s="21">
        <f>(100-R267)/100*45.48</f>
        <v>14.358035999999995</v>
      </c>
      <c r="BM267" s="20"/>
      <c r="BS267" s="21"/>
      <c r="BT267" s="21"/>
      <c r="BU267" s="21"/>
      <c r="BV267" s="21"/>
      <c r="CG267" s="12">
        <v>3560</v>
      </c>
      <c r="CK267" s="21"/>
      <c r="CL267" s="12">
        <v>48</v>
      </c>
      <c r="CM267" s="21"/>
      <c r="CN267" s="21"/>
      <c r="DW267" s="21"/>
      <c r="DX267" s="24"/>
      <c r="DY267" s="24"/>
      <c r="DZ267" s="24"/>
      <c r="EA267" s="24"/>
      <c r="EB267" s="24"/>
      <c r="EC267" s="24"/>
      <c r="ED267" s="24"/>
      <c r="EE267" s="24"/>
      <c r="EF267" s="24"/>
      <c r="EG267" s="24"/>
      <c r="EH267" s="24"/>
      <c r="EI267" s="24"/>
      <c r="EJ267" s="24"/>
      <c r="ER267" s="12">
        <v>800</v>
      </c>
      <c r="ES267" s="12">
        <v>37</v>
      </c>
      <c r="FJ267" s="21"/>
    </row>
    <row r="268" spans="1:166" s="12" customFormat="1" x14ac:dyDescent="0.2">
      <c r="A268" s="11" t="s">
        <v>6529</v>
      </c>
      <c r="B268" s="12" t="s">
        <v>6492</v>
      </c>
      <c r="D268" s="12" t="s">
        <v>6497</v>
      </c>
      <c r="E268" s="12" t="s">
        <v>11</v>
      </c>
      <c r="F268" s="12" t="s">
        <v>6294</v>
      </c>
      <c r="H268" s="12" t="s">
        <v>6494</v>
      </c>
      <c r="J268" s="12" t="s">
        <v>6495</v>
      </c>
      <c r="K268" s="12">
        <v>2014</v>
      </c>
      <c r="L268" s="12" t="s">
        <v>6496</v>
      </c>
      <c r="M268" s="12" t="s">
        <v>6201</v>
      </c>
      <c r="N268" s="12">
        <v>1.1000000000000001</v>
      </c>
      <c r="P268" s="21"/>
      <c r="Q268" s="13">
        <f>(100-R268)/100*258.01</f>
        <v>44.04230699999998</v>
      </c>
      <c r="R268" s="12">
        <v>82.93</v>
      </c>
      <c r="X268" s="20">
        <f>(100-R268)/100*15.65</f>
        <v>2.671454999999999</v>
      </c>
      <c r="Y268" s="20"/>
      <c r="AA268" s="20">
        <f>(100-R268)/100*5.73</f>
        <v>0.97811099999999973</v>
      </c>
      <c r="AB268" s="20"/>
      <c r="AC268" s="20"/>
      <c r="AD268" s="20"/>
      <c r="AE268" s="20">
        <f>(100-R268)/100*48.14</f>
        <v>8.2174979999999973</v>
      </c>
      <c r="AF268" s="20"/>
      <c r="AG268" s="20"/>
      <c r="AO268" s="20">
        <f>(100-R268)/100*24.75</f>
        <v>4.2248249999999983</v>
      </c>
      <c r="AW268" s="20">
        <f>(100-R268)/100*5.73</f>
        <v>0.97811099999999973</v>
      </c>
      <c r="AX268" s="21">
        <f>(100-R268)/100*193.54</f>
        <v>33.037277999999986</v>
      </c>
      <c r="AY268" s="21"/>
      <c r="BB268" s="21"/>
      <c r="BC268" s="21">
        <f>(100-R268)/100*25.47</f>
        <v>4.3477289999999984</v>
      </c>
      <c r="BD268" s="21">
        <f>(100-R268)/100*1391.77</f>
        <v>237.57513899999989</v>
      </c>
      <c r="BE268" s="21">
        <f>(100-R268)/100*183.1</f>
        <v>31.255169999999985</v>
      </c>
      <c r="BF268" s="21"/>
      <c r="BG268" s="21">
        <f>(100-R268)/100*15.9</f>
        <v>2.714129999999999</v>
      </c>
      <c r="BH268" s="21"/>
      <c r="BI268" s="21">
        <f>(100-R268)/100*347.04</f>
        <v>59.239727999999978</v>
      </c>
      <c r="BJ268" s="21"/>
      <c r="BK268" s="21"/>
      <c r="BL268" s="21">
        <f>(100-R268)/100*17.2</f>
        <v>2.9360399999999989</v>
      </c>
      <c r="BM268" s="20"/>
      <c r="BS268" s="21"/>
      <c r="BT268" s="21"/>
      <c r="BU268" s="21"/>
      <c r="BV268" s="21"/>
      <c r="CG268" s="12">
        <v>0</v>
      </c>
      <c r="CK268" s="21"/>
      <c r="CL268" s="12">
        <v>23.65</v>
      </c>
      <c r="CM268" s="21"/>
      <c r="CN268" s="21"/>
      <c r="DW268" s="21"/>
      <c r="DX268" s="24"/>
      <c r="DY268" s="24"/>
      <c r="DZ268" s="24"/>
      <c r="EA268" s="24"/>
      <c r="EB268" s="24"/>
      <c r="EC268" s="24"/>
      <c r="ED268" s="24"/>
      <c r="EE268" s="24"/>
      <c r="EF268" s="24"/>
      <c r="EG268" s="24"/>
      <c r="EH268" s="24"/>
      <c r="EI268" s="24"/>
      <c r="EJ268" s="24"/>
      <c r="ER268" s="12">
        <v>418</v>
      </c>
      <c r="ES268" s="12">
        <v>28.54</v>
      </c>
      <c r="FJ268" s="21"/>
    </row>
    <row r="269" spans="1:166" s="12" customFormat="1" x14ac:dyDescent="0.2">
      <c r="A269" s="11" t="s">
        <v>6530</v>
      </c>
      <c r="B269" s="12" t="s">
        <v>6492</v>
      </c>
      <c r="D269" s="12" t="s">
        <v>6497</v>
      </c>
      <c r="E269" s="12" t="s">
        <v>11</v>
      </c>
      <c r="F269" s="12" t="s">
        <v>6294</v>
      </c>
      <c r="H269" s="12" t="s">
        <v>6494</v>
      </c>
      <c r="J269" s="12" t="s">
        <v>6495</v>
      </c>
      <c r="K269" s="12">
        <v>2014</v>
      </c>
      <c r="L269" s="12" t="s">
        <v>6496</v>
      </c>
      <c r="M269" s="12" t="s">
        <v>6201</v>
      </c>
      <c r="N269" s="12">
        <v>1.1000000000000001</v>
      </c>
      <c r="P269" s="21"/>
      <c r="Q269" s="13">
        <f>(100-R269)/100*257.11</f>
        <v>38.823609999999988</v>
      </c>
      <c r="R269" s="21">
        <v>84.9</v>
      </c>
      <c r="X269" s="20">
        <f>(100-R269)/100*14.87</f>
        <v>2.245369999999999</v>
      </c>
      <c r="Y269" s="20"/>
      <c r="AA269" s="20">
        <f>(100-R269)/100*5.27</f>
        <v>0.79576999999999964</v>
      </c>
      <c r="AB269" s="20"/>
      <c r="AC269" s="20"/>
      <c r="AD269" s="20"/>
      <c r="AE269" s="20">
        <f>(100-R269)/100*49.51</f>
        <v>7.4760099999999969</v>
      </c>
      <c r="AF269" s="20"/>
      <c r="AG269" s="20"/>
      <c r="AO269" s="20">
        <f>(100-R269)/100*24.67</f>
        <v>3.725169999999999</v>
      </c>
      <c r="AW269" s="20">
        <f>(100-R269)/100*5.63</f>
        <v>0.85012999999999961</v>
      </c>
      <c r="AX269" s="21">
        <f>(100-R269)/100*168.3</f>
        <v>25.413299999999992</v>
      </c>
      <c r="AY269" s="21"/>
      <c r="BB269" s="21"/>
      <c r="BC269" s="21">
        <f>(100-R269)/100*22.08</f>
        <v>3.3340799999999984</v>
      </c>
      <c r="BD269" s="21">
        <f>(100-R269)/100*997.6</f>
        <v>150.63759999999994</v>
      </c>
      <c r="BE269" s="21">
        <f>(100-R269)/100*158.88</f>
        <v>23.99087999999999</v>
      </c>
      <c r="BF269" s="21"/>
      <c r="BG269" s="21">
        <f>(100-R269)/100*9.3</f>
        <v>1.4042999999999994</v>
      </c>
      <c r="BH269" s="21"/>
      <c r="BI269" s="21">
        <f>(100-R269)/100*281.25</f>
        <v>42.468749999999986</v>
      </c>
      <c r="BJ269" s="21"/>
      <c r="BK269" s="21"/>
      <c r="BL269" s="21">
        <f>(100-R269)/100*13.56</f>
        <v>2.0475599999999994</v>
      </c>
      <c r="BM269" s="20"/>
      <c r="BS269" s="21"/>
      <c r="BT269" s="21"/>
      <c r="BU269" s="21"/>
      <c r="BV269" s="21"/>
      <c r="CG269" s="12">
        <v>0</v>
      </c>
      <c r="CK269" s="21"/>
      <c r="CL269" s="12">
        <v>18.54</v>
      </c>
      <c r="CM269" s="21"/>
      <c r="CN269" s="21"/>
      <c r="DW269" s="21"/>
      <c r="DX269" s="24"/>
      <c r="DY269" s="24"/>
      <c r="DZ269" s="24"/>
      <c r="EA269" s="24"/>
      <c r="EB269" s="24"/>
      <c r="EC269" s="24"/>
      <c r="ED269" s="24"/>
      <c r="EE269" s="24"/>
      <c r="EF269" s="24"/>
      <c r="EG269" s="24"/>
      <c r="EH269" s="24"/>
      <c r="EI269" s="24"/>
      <c r="EJ269" s="24"/>
      <c r="ER269" s="12">
        <v>300.67</v>
      </c>
      <c r="ES269" s="12">
        <v>21.03</v>
      </c>
      <c r="FJ269" s="21"/>
    </row>
    <row r="270" spans="1:166" s="12" customFormat="1" x14ac:dyDescent="0.2">
      <c r="A270" s="11" t="s">
        <v>6531</v>
      </c>
      <c r="B270" s="12" t="s">
        <v>6492</v>
      </c>
      <c r="D270" s="12" t="s">
        <v>6497</v>
      </c>
      <c r="E270" s="12" t="s">
        <v>11</v>
      </c>
      <c r="F270" s="12" t="s">
        <v>6294</v>
      </c>
      <c r="H270" s="12" t="s">
        <v>6494</v>
      </c>
      <c r="J270" s="12" t="s">
        <v>6495</v>
      </c>
      <c r="K270" s="12">
        <v>2014</v>
      </c>
      <c r="L270" s="12" t="s">
        <v>6496</v>
      </c>
      <c r="M270" s="12" t="s">
        <v>6201</v>
      </c>
      <c r="N270" s="12">
        <v>1.1000000000000001</v>
      </c>
      <c r="P270" s="21"/>
      <c r="Q270" s="13">
        <f>(100-R270)/100*264.17</f>
        <v>42.531369999999988</v>
      </c>
      <c r="R270" s="21">
        <v>83.9</v>
      </c>
      <c r="X270" s="20">
        <f>(100-R270)/100*14</f>
        <v>2.2539999999999991</v>
      </c>
      <c r="Y270" s="20"/>
      <c r="AA270" s="20">
        <f>(100-R270)/100*5.07</f>
        <v>0.81626999999999983</v>
      </c>
      <c r="AB270" s="20"/>
      <c r="AC270" s="20"/>
      <c r="AD270" s="20"/>
      <c r="AE270" s="20">
        <f>(100-R270)/100*52.21</f>
        <v>8.4058099999999971</v>
      </c>
      <c r="AF270" s="20"/>
      <c r="AG270" s="20"/>
      <c r="AO270" s="20">
        <f>(100-R270)/100*23.52</f>
        <v>3.7867199999999985</v>
      </c>
      <c r="AW270" s="20">
        <f>(100-R270)/100*4.87</f>
        <v>0.78406999999999982</v>
      </c>
      <c r="AX270" s="21">
        <f>(100-R270)/100*72.7</f>
        <v>11.704699999999997</v>
      </c>
      <c r="AY270" s="21"/>
      <c r="BB270" s="21"/>
      <c r="BC270" s="21">
        <f>(100-R270)/100*14.52</f>
        <v>2.3377199999999991</v>
      </c>
      <c r="BD270" s="21">
        <f>(100-R270)/100*770.4</f>
        <v>124.03439999999996</v>
      </c>
      <c r="BE270" s="21">
        <f>(100-R270)/100*44.83</f>
        <v>7.2176299999999971</v>
      </c>
      <c r="BF270" s="21"/>
      <c r="BG270" s="21">
        <f>(100-R270)/100*7.3</f>
        <v>1.1752999999999996</v>
      </c>
      <c r="BH270" s="21"/>
      <c r="BI270" s="21">
        <f>(100-R270)/100*153.96</f>
        <v>24.787559999999992</v>
      </c>
      <c r="BJ270" s="21"/>
      <c r="BK270" s="21"/>
      <c r="BL270" s="21">
        <f>(100-R270)/100*10.65</f>
        <v>1.7146499999999996</v>
      </c>
      <c r="BM270" s="20"/>
      <c r="BS270" s="21"/>
      <c r="BT270" s="21"/>
      <c r="BU270" s="21"/>
      <c r="BV270" s="21"/>
      <c r="CG270" s="12">
        <v>0</v>
      </c>
      <c r="CK270" s="21"/>
      <c r="CL270" s="12">
        <v>7.5</v>
      </c>
      <c r="CM270" s="21"/>
      <c r="CN270" s="21"/>
      <c r="DW270" s="21"/>
      <c r="DX270" s="24"/>
      <c r="DY270" s="24"/>
      <c r="DZ270" s="24"/>
      <c r="EA270" s="24"/>
      <c r="EB270" s="24"/>
      <c r="EC270" s="24"/>
      <c r="ED270" s="24"/>
      <c r="EE270" s="24"/>
      <c r="EF270" s="24"/>
      <c r="EG270" s="24"/>
      <c r="EH270" s="24"/>
      <c r="EI270" s="24"/>
      <c r="EJ270" s="24"/>
      <c r="ER270" s="12">
        <v>271.33</v>
      </c>
      <c r="ES270" s="12">
        <v>20.94</v>
      </c>
      <c r="FJ270" s="21"/>
    </row>
    <row r="271" spans="1:166" s="12" customFormat="1" x14ac:dyDescent="0.2">
      <c r="A271" s="11"/>
      <c r="P271" s="21"/>
      <c r="Q271" s="21"/>
      <c r="X271" s="20"/>
      <c r="Y271" s="20"/>
      <c r="AA271" s="20"/>
      <c r="AB271" s="20"/>
      <c r="AC271" s="20"/>
      <c r="AD271" s="20"/>
      <c r="AE271" s="20"/>
      <c r="AF271" s="20"/>
      <c r="AG271" s="20"/>
      <c r="AO271" s="20"/>
      <c r="AW271" s="20"/>
      <c r="BM271" s="20"/>
      <c r="FJ271" s="21"/>
    </row>
  </sheetData>
  <pageMargins left="0.7" right="0.7" top="0.75" bottom="0.75" header="0.3" footer="0.3"/>
  <pageSetup paperSize="9" orientation="portrait" r:id="rId1"/>
  <ignoredErrors>
    <ignoredError sqref="A4:A251 A252:A27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W14"/>
  <sheetViews>
    <sheetView zoomScaleNormal="100" workbookViewId="0">
      <pane ySplit="3" topLeftCell="A4" activePane="bottomLeft" state="frozen"/>
      <selection pane="bottomLeft"/>
    </sheetView>
  </sheetViews>
  <sheetFormatPr defaultColWidth="11.42578125" defaultRowHeight="12.75" x14ac:dyDescent="0.2"/>
  <cols>
    <col min="1" max="49" width="11.42578125" style="1"/>
    <col min="50" max="53" width="11.85546875" style="1" customWidth="1"/>
    <col min="54" max="190" width="11.42578125" style="1"/>
    <col min="193" max="16384" width="11.42578125" style="1"/>
  </cols>
  <sheetData>
    <row r="1" spans="1:231" s="4" customFormat="1" ht="30.6" customHeight="1" x14ac:dyDescent="0.2">
      <c r="A1" s="4" t="s">
        <v>64</v>
      </c>
      <c r="B1" s="4" t="s">
        <v>65</v>
      </c>
      <c r="C1" s="4" t="s">
        <v>66</v>
      </c>
      <c r="D1" s="4" t="s">
        <v>67</v>
      </c>
      <c r="E1" s="4" t="s">
        <v>6</v>
      </c>
      <c r="F1" s="4" t="s">
        <v>239</v>
      </c>
      <c r="G1" s="4" t="s">
        <v>68</v>
      </c>
      <c r="H1" s="4" t="s">
        <v>69</v>
      </c>
      <c r="I1" s="4" t="s">
        <v>13</v>
      </c>
      <c r="J1" s="4" t="s">
        <v>70</v>
      </c>
      <c r="K1" s="4" t="s">
        <v>71</v>
      </c>
      <c r="L1" s="4" t="s">
        <v>240</v>
      </c>
      <c r="M1" s="4" t="s">
        <v>19</v>
      </c>
      <c r="N1" s="4" t="s">
        <v>72</v>
      </c>
      <c r="O1" s="16" t="s">
        <v>1069</v>
      </c>
      <c r="P1" s="16" t="s">
        <v>243</v>
      </c>
      <c r="Q1" s="16" t="s">
        <v>244</v>
      </c>
      <c r="R1" s="16" t="s">
        <v>1070</v>
      </c>
      <c r="S1" s="4" t="s">
        <v>73</v>
      </c>
      <c r="T1" s="4" t="s">
        <v>74</v>
      </c>
      <c r="U1" s="16" t="s">
        <v>1071</v>
      </c>
      <c r="V1" s="16" t="s">
        <v>1072</v>
      </c>
      <c r="W1" s="16" t="s">
        <v>7055</v>
      </c>
      <c r="X1" s="4" t="s">
        <v>6212</v>
      </c>
      <c r="Y1" s="16" t="s">
        <v>7058</v>
      </c>
      <c r="Z1" s="4" t="s">
        <v>246</v>
      </c>
      <c r="AA1" s="16" t="s">
        <v>1073</v>
      </c>
      <c r="AB1" s="4" t="s">
        <v>76</v>
      </c>
      <c r="AC1" s="4" t="s">
        <v>77</v>
      </c>
      <c r="AD1" s="4" t="s">
        <v>78</v>
      </c>
      <c r="AE1" s="4" t="s">
        <v>79</v>
      </c>
      <c r="AF1" s="4" t="s">
        <v>6214</v>
      </c>
      <c r="AG1" s="16" t="s">
        <v>7021</v>
      </c>
      <c r="AH1" s="16" t="s">
        <v>247</v>
      </c>
      <c r="AI1" s="16" t="s">
        <v>6219</v>
      </c>
      <c r="AJ1" s="16" t="s">
        <v>7068</v>
      </c>
      <c r="AK1" s="16" t="s">
        <v>6220</v>
      </c>
      <c r="AL1" s="16" t="s">
        <v>6221</v>
      </c>
      <c r="AM1" s="4" t="s">
        <v>82</v>
      </c>
      <c r="AN1" s="4" t="s">
        <v>83</v>
      </c>
      <c r="AO1" s="16" t="s">
        <v>7024</v>
      </c>
      <c r="AP1" s="16" t="s">
        <v>6222</v>
      </c>
      <c r="AQ1" s="16" t="s">
        <v>6223</v>
      </c>
      <c r="AR1" s="16" t="s">
        <v>7070</v>
      </c>
      <c r="AS1" s="16" t="s">
        <v>6224</v>
      </c>
      <c r="AT1" s="16" t="s">
        <v>6264</v>
      </c>
      <c r="AU1" s="16" t="s">
        <v>7071</v>
      </c>
      <c r="AV1" s="4" t="s">
        <v>84</v>
      </c>
      <c r="AW1" s="16" t="s">
        <v>7074</v>
      </c>
      <c r="AX1" s="4" t="s">
        <v>85</v>
      </c>
      <c r="AY1" s="16" t="s">
        <v>1082</v>
      </c>
      <c r="AZ1" s="16" t="s">
        <v>250</v>
      </c>
      <c r="BA1" s="16" t="s">
        <v>1083</v>
      </c>
      <c r="BB1" s="4" t="s">
        <v>86</v>
      </c>
      <c r="BC1" s="4" t="s">
        <v>87</v>
      </c>
      <c r="BD1" s="4" t="s">
        <v>88</v>
      </c>
      <c r="BE1" s="4" t="s">
        <v>89</v>
      </c>
      <c r="BF1" s="4" t="s">
        <v>251</v>
      </c>
      <c r="BG1" s="16" t="s">
        <v>1085</v>
      </c>
      <c r="BH1" s="4" t="s">
        <v>90</v>
      </c>
      <c r="BI1" s="16" t="s">
        <v>1087</v>
      </c>
      <c r="BJ1" s="16" t="s">
        <v>91</v>
      </c>
      <c r="BK1" s="16" t="s">
        <v>1089</v>
      </c>
      <c r="BL1" s="16" t="s">
        <v>1090</v>
      </c>
      <c r="BM1" s="16" t="s">
        <v>1092</v>
      </c>
      <c r="BN1" s="4" t="s">
        <v>92</v>
      </c>
      <c r="BO1" s="16" t="s">
        <v>252</v>
      </c>
      <c r="BP1" s="16" t="s">
        <v>6226</v>
      </c>
      <c r="BQ1" s="16" t="s">
        <v>6227</v>
      </c>
      <c r="BR1" s="16" t="s">
        <v>253</v>
      </c>
      <c r="BS1" s="16" t="s">
        <v>254</v>
      </c>
      <c r="BT1" s="16" t="s">
        <v>1098</v>
      </c>
      <c r="BU1" s="16" t="s">
        <v>255</v>
      </c>
      <c r="BV1" s="16" t="s">
        <v>6229</v>
      </c>
      <c r="BW1" s="16" t="s">
        <v>1102</v>
      </c>
      <c r="BX1" s="16" t="s">
        <v>256</v>
      </c>
      <c r="BY1" s="16" t="s">
        <v>257</v>
      </c>
      <c r="BZ1" s="16" t="s">
        <v>7032</v>
      </c>
      <c r="CA1" s="16" t="s">
        <v>6230</v>
      </c>
      <c r="CB1" s="16" t="s">
        <v>7607</v>
      </c>
      <c r="CC1" s="16" t="s">
        <v>7190</v>
      </c>
      <c r="CD1" s="16" t="s">
        <v>258</v>
      </c>
      <c r="CE1" s="16" t="s">
        <v>7081</v>
      </c>
      <c r="CF1" s="16" t="s">
        <v>6233</v>
      </c>
      <c r="CG1" s="16" t="s">
        <v>7035</v>
      </c>
      <c r="CH1" s="16" t="s">
        <v>260</v>
      </c>
      <c r="CI1" s="16" t="s">
        <v>6234</v>
      </c>
      <c r="CJ1" s="16" t="s">
        <v>6235</v>
      </c>
      <c r="CK1" s="16" t="s">
        <v>6236</v>
      </c>
      <c r="CL1" s="16" t="s">
        <v>1106</v>
      </c>
      <c r="CM1" s="16" t="s">
        <v>7088</v>
      </c>
      <c r="CN1" s="16" t="s">
        <v>7089</v>
      </c>
      <c r="CO1" s="16" t="s">
        <v>7090</v>
      </c>
      <c r="CP1" s="16" t="s">
        <v>7091</v>
      </c>
      <c r="CQ1" s="4" t="s">
        <v>93</v>
      </c>
      <c r="CR1" s="4" t="s">
        <v>94</v>
      </c>
      <c r="CS1" s="16" t="s">
        <v>6864</v>
      </c>
      <c r="CT1" s="16" t="s">
        <v>1107</v>
      </c>
      <c r="CU1" s="4" t="s">
        <v>95</v>
      </c>
      <c r="CV1" s="16" t="s">
        <v>1113</v>
      </c>
      <c r="CW1" s="16" t="s">
        <v>261</v>
      </c>
      <c r="CX1" s="16" t="s">
        <v>262</v>
      </c>
      <c r="CY1" s="16" t="s">
        <v>263</v>
      </c>
      <c r="CZ1" s="16" t="s">
        <v>264</v>
      </c>
      <c r="DA1" s="16" t="s">
        <v>265</v>
      </c>
      <c r="DB1" s="16" t="s">
        <v>248</v>
      </c>
      <c r="DC1" s="16" t="s">
        <v>7062</v>
      </c>
      <c r="DD1" s="16" t="s">
        <v>6217</v>
      </c>
      <c r="DE1" s="16" t="s">
        <v>7063</v>
      </c>
      <c r="DF1" s="4" t="s">
        <v>96</v>
      </c>
      <c r="DG1" s="4" t="s">
        <v>100</v>
      </c>
      <c r="DH1" s="4" t="s">
        <v>97</v>
      </c>
      <c r="DI1" s="4" t="s">
        <v>101</v>
      </c>
      <c r="DJ1" s="4" t="s">
        <v>98</v>
      </c>
      <c r="DK1" s="16" t="s">
        <v>1115</v>
      </c>
      <c r="DL1" s="4" t="s">
        <v>99</v>
      </c>
      <c r="DM1" s="4" t="s">
        <v>81</v>
      </c>
      <c r="DN1" s="16" t="s">
        <v>6215</v>
      </c>
      <c r="DO1" s="16" t="s">
        <v>7061</v>
      </c>
      <c r="DP1" s="16" t="s">
        <v>7078</v>
      </c>
      <c r="DQ1" s="4" t="s">
        <v>102</v>
      </c>
      <c r="DR1" s="4" t="s">
        <v>103</v>
      </c>
      <c r="DS1" s="4" t="s">
        <v>104</v>
      </c>
      <c r="DT1" s="4" t="s">
        <v>105</v>
      </c>
      <c r="DU1" s="4" t="s">
        <v>106</v>
      </c>
      <c r="DV1" s="4" t="s">
        <v>107</v>
      </c>
      <c r="DW1" s="4" t="s">
        <v>108</v>
      </c>
      <c r="DX1" s="4" t="s">
        <v>109</v>
      </c>
      <c r="DY1" s="4" t="s">
        <v>110</v>
      </c>
      <c r="DZ1" s="4" t="s">
        <v>111</v>
      </c>
      <c r="EA1" s="16" t="s">
        <v>5155</v>
      </c>
      <c r="EB1" s="16" t="s">
        <v>5166</v>
      </c>
      <c r="EC1" s="4" t="s">
        <v>112</v>
      </c>
      <c r="ED1" s="4" t="s">
        <v>113</v>
      </c>
      <c r="EE1" s="4" t="s">
        <v>114</v>
      </c>
      <c r="EF1" s="4" t="s">
        <v>115</v>
      </c>
      <c r="EG1" s="4" t="s">
        <v>116</v>
      </c>
      <c r="EH1" s="4" t="s">
        <v>117</v>
      </c>
      <c r="EI1" s="4" t="s">
        <v>118</v>
      </c>
      <c r="EJ1" s="4" t="s">
        <v>119</v>
      </c>
      <c r="EK1" s="4" t="s">
        <v>120</v>
      </c>
      <c r="EL1" s="4" t="s">
        <v>121</v>
      </c>
      <c r="EM1" s="4" t="s">
        <v>122</v>
      </c>
      <c r="EN1" s="16" t="s">
        <v>5181</v>
      </c>
      <c r="EO1" s="4" t="s">
        <v>123</v>
      </c>
      <c r="EP1" s="16" t="s">
        <v>5193</v>
      </c>
      <c r="EQ1" s="16" t="s">
        <v>5198</v>
      </c>
      <c r="ER1" s="4" t="s">
        <v>124</v>
      </c>
      <c r="ES1" s="4" t="s">
        <v>125</v>
      </c>
      <c r="ET1" s="4" t="s">
        <v>126</v>
      </c>
      <c r="EU1" s="4" t="s">
        <v>127</v>
      </c>
      <c r="EV1" s="4" t="s">
        <v>128</v>
      </c>
      <c r="EW1" s="16" t="s">
        <v>5221</v>
      </c>
      <c r="EX1" s="16" t="s">
        <v>5218</v>
      </c>
      <c r="EY1" s="4" t="s">
        <v>129</v>
      </c>
      <c r="EZ1" s="16" t="s">
        <v>5226</v>
      </c>
      <c r="FA1" s="4" t="s">
        <v>130</v>
      </c>
      <c r="FB1" s="4" t="s">
        <v>131</v>
      </c>
      <c r="FC1" s="16" t="s">
        <v>5238</v>
      </c>
      <c r="FD1" s="16" t="s">
        <v>5236</v>
      </c>
      <c r="FE1" s="4" t="s">
        <v>132</v>
      </c>
      <c r="FF1" s="16" t="s">
        <v>5240</v>
      </c>
      <c r="FG1" s="16" t="s">
        <v>5249</v>
      </c>
      <c r="FH1" s="16" t="s">
        <v>5253</v>
      </c>
      <c r="FI1" s="16" t="s">
        <v>5256</v>
      </c>
      <c r="FJ1" s="16" t="s">
        <v>5260</v>
      </c>
      <c r="FK1" s="16" t="s">
        <v>5265</v>
      </c>
      <c r="FL1" s="16" t="s">
        <v>5268</v>
      </c>
      <c r="FM1" s="16" t="s">
        <v>6898</v>
      </c>
      <c r="FN1" s="4" t="s">
        <v>151</v>
      </c>
      <c r="FO1" s="4" t="s">
        <v>133</v>
      </c>
      <c r="FP1" s="4" t="s">
        <v>134</v>
      </c>
      <c r="FQ1" s="4" t="s">
        <v>135</v>
      </c>
      <c r="FR1" s="16" t="s">
        <v>267</v>
      </c>
      <c r="FS1" s="4" t="s">
        <v>136</v>
      </c>
      <c r="FT1" s="16" t="s">
        <v>1119</v>
      </c>
      <c r="FU1" s="4" t="s">
        <v>137</v>
      </c>
      <c r="FV1" s="4" t="s">
        <v>138</v>
      </c>
      <c r="FW1" s="4" t="s">
        <v>139</v>
      </c>
      <c r="FX1" s="4" t="s">
        <v>140</v>
      </c>
      <c r="FY1" s="4" t="s">
        <v>141</v>
      </c>
      <c r="FZ1" s="4" t="s">
        <v>142</v>
      </c>
      <c r="GA1" s="4" t="s">
        <v>143</v>
      </c>
      <c r="GB1" s="4" t="s">
        <v>144</v>
      </c>
      <c r="GC1" s="4" t="s">
        <v>145</v>
      </c>
      <c r="GD1" s="4" t="s">
        <v>146</v>
      </c>
      <c r="GE1" s="4" t="s">
        <v>147</v>
      </c>
      <c r="GF1" s="4" t="s">
        <v>148</v>
      </c>
      <c r="GG1" s="4" t="s">
        <v>149</v>
      </c>
      <c r="GH1" s="4" t="s">
        <v>150</v>
      </c>
      <c r="GI1" s="16" t="s">
        <v>7103</v>
      </c>
      <c r="GJ1" s="16" t="s">
        <v>6239</v>
      </c>
      <c r="GK1" s="16" t="s">
        <v>269</v>
      </c>
      <c r="GL1" s="16" t="s">
        <v>268</v>
      </c>
      <c r="GM1" s="16" t="s">
        <v>7104</v>
      </c>
      <c r="GN1" s="16" t="s">
        <v>7105</v>
      </c>
      <c r="GO1" s="16" t="s">
        <v>7106</v>
      </c>
      <c r="GP1" s="16" t="s">
        <v>7107</v>
      </c>
      <c r="GQ1" s="16" t="s">
        <v>6242</v>
      </c>
      <c r="GR1" s="16" t="s">
        <v>6243</v>
      </c>
      <c r="GS1" s="16" t="s">
        <v>6245</v>
      </c>
      <c r="GT1" s="16" t="s">
        <v>7108</v>
      </c>
      <c r="GU1" s="16" t="s">
        <v>6244</v>
      </c>
      <c r="GV1" s="16" t="s">
        <v>6246</v>
      </c>
      <c r="GW1" s="16" t="s">
        <v>6247</v>
      </c>
      <c r="GX1" s="16" t="s">
        <v>7045</v>
      </c>
      <c r="GY1" s="16" t="s">
        <v>6248</v>
      </c>
      <c r="GZ1" s="16" t="s">
        <v>6249</v>
      </c>
      <c r="HA1" s="16" t="s">
        <v>6250</v>
      </c>
      <c r="HB1" s="16" t="s">
        <v>6251</v>
      </c>
      <c r="HC1" s="16" t="s">
        <v>6238</v>
      </c>
      <c r="HD1" s="16" t="s">
        <v>7046</v>
      </c>
      <c r="HE1" s="16" t="s">
        <v>6252</v>
      </c>
      <c r="HF1" s="16" t="s">
        <v>7109</v>
      </c>
      <c r="HG1" s="16" t="s">
        <v>271</v>
      </c>
      <c r="HH1" s="16" t="s">
        <v>270</v>
      </c>
      <c r="HI1" s="16" t="s">
        <v>7110</v>
      </c>
      <c r="HJ1" s="16" t="s">
        <v>7111</v>
      </c>
      <c r="HK1" s="16" t="s">
        <v>7047</v>
      </c>
      <c r="HL1" s="16" t="s">
        <v>7112</v>
      </c>
      <c r="HM1" s="16" t="s">
        <v>6253</v>
      </c>
      <c r="HN1" s="16" t="s">
        <v>7113</v>
      </c>
      <c r="HO1" s="16" t="s">
        <v>7114</v>
      </c>
      <c r="HP1" s="16" t="s">
        <v>7115</v>
      </c>
      <c r="HQ1" s="16" t="s">
        <v>7116</v>
      </c>
      <c r="HR1" s="16" t="s">
        <v>6254</v>
      </c>
      <c r="HS1" s="16" t="s">
        <v>6255</v>
      </c>
      <c r="HT1" s="16" t="s">
        <v>6256</v>
      </c>
      <c r="HU1" s="16" t="s">
        <v>272</v>
      </c>
      <c r="HV1" s="16" t="s">
        <v>7117</v>
      </c>
      <c r="HW1" s="16" t="s">
        <v>273</v>
      </c>
    </row>
    <row r="2" spans="1:231" ht="58.5" customHeight="1" x14ac:dyDescent="0.2">
      <c r="A2" s="5"/>
      <c r="B2" s="5" t="s">
        <v>152</v>
      </c>
      <c r="C2" s="5"/>
      <c r="D2" s="5"/>
      <c r="E2" s="5" t="s">
        <v>153</v>
      </c>
      <c r="F2" s="5"/>
      <c r="G2" s="5" t="s">
        <v>154</v>
      </c>
      <c r="H2" s="5" t="s">
        <v>155</v>
      </c>
      <c r="I2" s="5" t="s">
        <v>14</v>
      </c>
      <c r="J2" s="5"/>
      <c r="K2" s="5"/>
      <c r="L2" s="5"/>
      <c r="M2" s="5"/>
      <c r="N2" s="5"/>
      <c r="O2" s="43" t="s">
        <v>6809</v>
      </c>
      <c r="P2" s="43" t="s">
        <v>6714</v>
      </c>
      <c r="Q2" s="43" t="s">
        <v>6714</v>
      </c>
      <c r="R2" s="43" t="s">
        <v>6808</v>
      </c>
      <c r="S2" s="43" t="s">
        <v>6715</v>
      </c>
      <c r="T2" s="43" t="s">
        <v>276</v>
      </c>
      <c r="U2" s="43" t="s">
        <v>6810</v>
      </c>
      <c r="V2" s="43" t="s">
        <v>7056</v>
      </c>
      <c r="W2" s="43" t="s">
        <v>7057</v>
      </c>
      <c r="X2" s="43" t="s">
        <v>6716</v>
      </c>
      <c r="Y2" s="43" t="s">
        <v>7059</v>
      </c>
      <c r="Z2" s="43" t="s">
        <v>6717</v>
      </c>
      <c r="AA2" s="43" t="s">
        <v>6718</v>
      </c>
      <c r="AB2" s="43" t="s">
        <v>6719</v>
      </c>
      <c r="AC2" s="43" t="s">
        <v>6720</v>
      </c>
      <c r="AD2" s="43" t="s">
        <v>162</v>
      </c>
      <c r="AE2" s="43" t="s">
        <v>6721</v>
      </c>
      <c r="AF2" s="43" t="s">
        <v>6722</v>
      </c>
      <c r="AG2" s="43" t="s">
        <v>7022</v>
      </c>
      <c r="AH2" s="43" t="s">
        <v>6814</v>
      </c>
      <c r="AI2" s="43" t="s">
        <v>6816</v>
      </c>
      <c r="AJ2" s="43" t="s">
        <v>7069</v>
      </c>
      <c r="AK2" s="43" t="s">
        <v>6817</v>
      </c>
      <c r="AL2" s="43" t="s">
        <v>6798</v>
      </c>
      <c r="AM2" s="43" t="s">
        <v>6725</v>
      </c>
      <c r="AN2" s="43" t="s">
        <v>6818</v>
      </c>
      <c r="AO2" s="43" t="s">
        <v>7025</v>
      </c>
      <c r="AP2" s="43" t="s">
        <v>7026</v>
      </c>
      <c r="AQ2" s="43" t="s">
        <v>7027</v>
      </c>
      <c r="AR2" s="43" t="s">
        <v>7072</v>
      </c>
      <c r="AS2" s="43" t="s">
        <v>6819</v>
      </c>
      <c r="AT2" s="43" t="s">
        <v>6820</v>
      </c>
      <c r="AU2" s="43" t="s">
        <v>7073</v>
      </c>
      <c r="AV2" s="43" t="s">
        <v>6726</v>
      </c>
      <c r="AW2" s="43" t="s">
        <v>7075</v>
      </c>
      <c r="AX2" s="43" t="s">
        <v>6727</v>
      </c>
      <c r="AY2" s="43" t="s">
        <v>6821</v>
      </c>
      <c r="AZ2" s="43" t="s">
        <v>6822</v>
      </c>
      <c r="BA2" s="43" t="s">
        <v>6823</v>
      </c>
      <c r="BB2" s="43" t="s">
        <v>6728</v>
      </c>
      <c r="BC2" s="43" t="s">
        <v>6729</v>
      </c>
      <c r="BD2" s="43" t="s">
        <v>6730</v>
      </c>
      <c r="BE2" s="43" t="s">
        <v>6731</v>
      </c>
      <c r="BF2" s="43" t="s">
        <v>6732</v>
      </c>
      <c r="BG2" s="43" t="s">
        <v>6825</v>
      </c>
      <c r="BH2" s="43" t="s">
        <v>6733</v>
      </c>
      <c r="BI2" s="43" t="s">
        <v>6826</v>
      </c>
      <c r="BJ2" s="43" t="s">
        <v>6734</v>
      </c>
      <c r="BK2" s="43" t="s">
        <v>6828</v>
      </c>
      <c r="BL2" s="43" t="s">
        <v>6829</v>
      </c>
      <c r="BM2" s="43" t="s">
        <v>7076</v>
      </c>
      <c r="BN2" s="43" t="s">
        <v>6735</v>
      </c>
      <c r="BO2" s="43" t="s">
        <v>6834</v>
      </c>
      <c r="BP2" s="43" t="s">
        <v>7030</v>
      </c>
      <c r="BQ2" s="43" t="s">
        <v>7080</v>
      </c>
      <c r="BR2" s="43" t="s">
        <v>7082</v>
      </c>
      <c r="BS2" s="43" t="s">
        <v>7083</v>
      </c>
      <c r="BT2" s="43" t="s">
        <v>7031</v>
      </c>
      <c r="BU2" s="43" t="s">
        <v>7084</v>
      </c>
      <c r="BV2" s="43" t="s">
        <v>6845</v>
      </c>
      <c r="BW2" s="43" t="s">
        <v>6846</v>
      </c>
      <c r="BX2" s="43" t="s">
        <v>6847</v>
      </c>
      <c r="BY2" s="43" t="s">
        <v>6848</v>
      </c>
      <c r="BZ2" s="43" t="s">
        <v>7033</v>
      </c>
      <c r="CA2" s="43" t="s">
        <v>7034</v>
      </c>
      <c r="CB2" s="43" t="s">
        <v>7085</v>
      </c>
      <c r="CC2" s="43" t="s">
        <v>6853</v>
      </c>
      <c r="CD2" s="43" t="s">
        <v>6854</v>
      </c>
      <c r="CE2" s="43" t="s">
        <v>7086</v>
      </c>
      <c r="CF2" s="43" t="s">
        <v>6855</v>
      </c>
      <c r="CG2" s="43" t="s">
        <v>7036</v>
      </c>
      <c r="CH2" s="43" t="s">
        <v>7087</v>
      </c>
      <c r="CI2" s="43" t="s">
        <v>6856</v>
      </c>
      <c r="CJ2" s="43" t="s">
        <v>6704</v>
      </c>
      <c r="CK2" s="43" t="s">
        <v>6860</v>
      </c>
      <c r="CL2" s="43" t="s">
        <v>7092</v>
      </c>
      <c r="CM2" s="43" t="s">
        <v>7093</v>
      </c>
      <c r="CN2" s="43" t="s">
        <v>7094</v>
      </c>
      <c r="CO2" s="43" t="s">
        <v>7095</v>
      </c>
      <c r="CP2" s="43" t="s">
        <v>7096</v>
      </c>
      <c r="CQ2" s="43" t="s">
        <v>6736</v>
      </c>
      <c r="CR2" s="43" t="s">
        <v>6737</v>
      </c>
      <c r="CS2" s="43" t="s">
        <v>6865</v>
      </c>
      <c r="CT2" s="43" t="s">
        <v>6866</v>
      </c>
      <c r="CU2" s="43" t="s">
        <v>6738</v>
      </c>
      <c r="CV2" s="43" t="s">
        <v>7097</v>
      </c>
      <c r="CW2" s="43" t="s">
        <v>6907</v>
      </c>
      <c r="CX2" s="43" t="s">
        <v>6739</v>
      </c>
      <c r="CY2" s="43" t="s">
        <v>298</v>
      </c>
      <c r="CZ2" s="43" t="s">
        <v>299</v>
      </c>
      <c r="DA2" s="43" t="s">
        <v>6910</v>
      </c>
      <c r="DB2" s="43" t="s">
        <v>7065</v>
      </c>
      <c r="DC2" s="43" t="s">
        <v>7066</v>
      </c>
      <c r="DD2" s="43" t="s">
        <v>7023</v>
      </c>
      <c r="DE2" s="43" t="s">
        <v>7067</v>
      </c>
      <c r="DF2" s="43" t="s">
        <v>6740</v>
      </c>
      <c r="DG2" s="43" t="s">
        <v>6752</v>
      </c>
      <c r="DH2" s="43" t="s">
        <v>6749</v>
      </c>
      <c r="DI2" s="43" t="s">
        <v>6753</v>
      </c>
      <c r="DJ2" s="43" t="s">
        <v>6750</v>
      </c>
      <c r="DK2" s="43" t="s">
        <v>7077</v>
      </c>
      <c r="DL2" s="43" t="s">
        <v>6751</v>
      </c>
      <c r="DM2" s="43" t="s">
        <v>165</v>
      </c>
      <c r="DN2" s="43" t="s">
        <v>6723</v>
      </c>
      <c r="DO2" s="43" t="s">
        <v>7064</v>
      </c>
      <c r="DP2" s="43" t="s">
        <v>7079</v>
      </c>
      <c r="DQ2" s="43" t="s">
        <v>6754</v>
      </c>
      <c r="DR2" s="43" t="s">
        <v>6755</v>
      </c>
      <c r="DS2" s="43" t="s">
        <v>6756</v>
      </c>
      <c r="DT2" s="43" t="s">
        <v>6757</v>
      </c>
      <c r="DU2" s="43" t="s">
        <v>6758</v>
      </c>
      <c r="DV2" s="43" t="s">
        <v>7099</v>
      </c>
      <c r="DW2" s="43" t="s">
        <v>7098</v>
      </c>
      <c r="DX2" s="43" t="s">
        <v>7101</v>
      </c>
      <c r="DY2" s="43" t="s">
        <v>7100</v>
      </c>
      <c r="DZ2" s="43" t="s">
        <v>6761</v>
      </c>
      <c r="EA2" s="43" t="s">
        <v>7102</v>
      </c>
      <c r="EB2" s="43" t="s">
        <v>6919</v>
      </c>
      <c r="EC2" s="43" t="s">
        <v>6762</v>
      </c>
      <c r="ED2" s="43" t="s">
        <v>6763</v>
      </c>
      <c r="EE2" s="43" t="s">
        <v>6764</v>
      </c>
      <c r="EF2" s="43" t="s">
        <v>6765</v>
      </c>
      <c r="EG2" s="43" t="s">
        <v>6741</v>
      </c>
      <c r="EH2" s="43" t="s">
        <v>6766</v>
      </c>
      <c r="EI2" s="43" t="s">
        <v>6742</v>
      </c>
      <c r="EJ2" s="43" t="s">
        <v>6767</v>
      </c>
      <c r="EK2" s="43" t="s">
        <v>6768</v>
      </c>
      <c r="EL2" s="43" t="s">
        <v>6769</v>
      </c>
      <c r="EM2" s="43" t="s">
        <v>6770</v>
      </c>
      <c r="EN2" s="43" t="s">
        <v>6931</v>
      </c>
      <c r="EO2" s="43" t="s">
        <v>6771</v>
      </c>
      <c r="EP2" s="43" t="s">
        <v>6943</v>
      </c>
      <c r="EQ2" s="43" t="s">
        <v>6948</v>
      </c>
      <c r="ER2" s="43" t="s">
        <v>6743</v>
      </c>
      <c r="ES2" s="43" t="s">
        <v>6772</v>
      </c>
      <c r="ET2" s="43" t="s">
        <v>6773</v>
      </c>
      <c r="EU2" s="43" t="s">
        <v>6774</v>
      </c>
      <c r="EV2" s="43" t="s">
        <v>6775</v>
      </c>
      <c r="EW2" s="43" t="s">
        <v>6970</v>
      </c>
      <c r="EX2" s="43" t="s">
        <v>6967</v>
      </c>
      <c r="EY2" s="43" t="s">
        <v>6744</v>
      </c>
      <c r="EZ2" s="43" t="s">
        <v>6972</v>
      </c>
      <c r="FA2" s="43" t="s">
        <v>6776</v>
      </c>
      <c r="FB2" s="43" t="s">
        <v>6777</v>
      </c>
      <c r="FC2" s="43" t="s">
        <v>6978</v>
      </c>
      <c r="FD2" s="43" t="s">
        <v>6977</v>
      </c>
      <c r="FE2" s="43" t="s">
        <v>6745</v>
      </c>
      <c r="FF2" s="43" t="s">
        <v>6980</v>
      </c>
      <c r="FG2" s="43" t="s">
        <v>6985</v>
      </c>
      <c r="FH2" s="43" t="s">
        <v>6987</v>
      </c>
      <c r="FI2" s="43" t="s">
        <v>6990</v>
      </c>
      <c r="FJ2" s="43" t="s">
        <v>6992</v>
      </c>
      <c r="FK2" s="43" t="s">
        <v>6993</v>
      </c>
      <c r="FL2" s="43" t="s">
        <v>6996</v>
      </c>
      <c r="FM2" s="43" t="s">
        <v>7002</v>
      </c>
      <c r="FN2" s="43" t="s">
        <v>6796</v>
      </c>
      <c r="FO2" s="43" t="s">
        <v>6778</v>
      </c>
      <c r="FP2" s="43" t="s">
        <v>6779</v>
      </c>
      <c r="FQ2" s="43" t="s">
        <v>6780</v>
      </c>
      <c r="FR2" s="43" t="s">
        <v>6797</v>
      </c>
      <c r="FS2" s="43" t="s">
        <v>6781</v>
      </c>
      <c r="FT2" s="43" t="s">
        <v>7008</v>
      </c>
      <c r="FU2" s="43" t="s">
        <v>6782</v>
      </c>
      <c r="FV2" s="43" t="s">
        <v>6783</v>
      </c>
      <c r="FW2" s="43" t="s">
        <v>6784</v>
      </c>
      <c r="FX2" s="43" t="s">
        <v>6785</v>
      </c>
      <c r="FY2" s="43" t="s">
        <v>6786</v>
      </c>
      <c r="FZ2" s="43" t="s">
        <v>6787</v>
      </c>
      <c r="GA2" s="43" t="s">
        <v>6788</v>
      </c>
      <c r="GB2" s="43" t="s">
        <v>6789</v>
      </c>
      <c r="GC2" s="43" t="s">
        <v>6790</v>
      </c>
      <c r="GD2" s="43" t="s">
        <v>6791</v>
      </c>
      <c r="GE2" s="43" t="s">
        <v>6792</v>
      </c>
      <c r="GF2" s="43" t="s">
        <v>6793</v>
      </c>
      <c r="GG2" s="43" t="s">
        <v>6794</v>
      </c>
      <c r="GH2" s="43" t="s">
        <v>6795</v>
      </c>
      <c r="GI2" s="43" t="s">
        <v>7118</v>
      </c>
      <c r="GJ2" s="43" t="s">
        <v>7041</v>
      </c>
      <c r="GK2" s="43" t="s">
        <v>6746</v>
      </c>
      <c r="GL2" s="43" t="s">
        <v>6801</v>
      </c>
      <c r="GM2" s="43" t="s">
        <v>7119</v>
      </c>
      <c r="GN2" s="43" t="s">
        <v>7120</v>
      </c>
      <c r="GO2" s="43" t="s">
        <v>7121</v>
      </c>
      <c r="GP2" s="43" t="s">
        <v>7122</v>
      </c>
      <c r="GQ2" s="43" t="s">
        <v>7123</v>
      </c>
      <c r="GR2" s="43" t="s">
        <v>7042</v>
      </c>
      <c r="GS2" s="43" t="s">
        <v>7124</v>
      </c>
      <c r="GT2" s="43" t="s">
        <v>7125</v>
      </c>
      <c r="GU2" s="43" t="s">
        <v>7043</v>
      </c>
      <c r="GV2" s="43" t="s">
        <v>7044</v>
      </c>
      <c r="GW2" s="43" t="s">
        <v>7126</v>
      </c>
      <c r="GX2" s="43" t="s">
        <v>7048</v>
      </c>
      <c r="GY2" s="43" t="s">
        <v>7127</v>
      </c>
      <c r="GZ2" s="43" t="s">
        <v>7128</v>
      </c>
      <c r="HA2" s="43" t="s">
        <v>7129</v>
      </c>
      <c r="HB2" s="43" t="s">
        <v>7130</v>
      </c>
      <c r="HC2" s="43" t="s">
        <v>7131</v>
      </c>
      <c r="HD2" s="43" t="s">
        <v>7049</v>
      </c>
      <c r="HE2" s="43" t="s">
        <v>7132</v>
      </c>
      <c r="HF2" s="43" t="s">
        <v>7133</v>
      </c>
      <c r="HG2" s="43" t="s">
        <v>7134</v>
      </c>
      <c r="HH2" s="43" t="s">
        <v>7050</v>
      </c>
      <c r="HI2" s="43" t="s">
        <v>7135</v>
      </c>
      <c r="HJ2" s="43" t="s">
        <v>7136</v>
      </c>
      <c r="HK2" s="43" t="s">
        <v>7051</v>
      </c>
      <c r="HL2" s="43" t="s">
        <v>7137</v>
      </c>
      <c r="HM2" s="43" t="s">
        <v>7052</v>
      </c>
      <c r="HN2" s="43" t="s">
        <v>7138</v>
      </c>
      <c r="HO2" s="43" t="s">
        <v>7139</v>
      </c>
      <c r="HP2" s="43" t="s">
        <v>7140</v>
      </c>
      <c r="HQ2" s="43" t="s">
        <v>7141</v>
      </c>
      <c r="HR2" s="43" t="s">
        <v>7142</v>
      </c>
      <c r="HS2" s="43" t="s">
        <v>7143</v>
      </c>
      <c r="HT2" s="43" t="s">
        <v>7053</v>
      </c>
      <c r="HU2" s="43" t="s">
        <v>7144</v>
      </c>
      <c r="HV2" s="43" t="s">
        <v>7145</v>
      </c>
      <c r="HW2" s="43" t="s">
        <v>7146</v>
      </c>
    </row>
    <row r="3" spans="1:231" s="61" customFormat="1" ht="58.5" hidden="1" customHeight="1" x14ac:dyDescent="0.2">
      <c r="O3" s="61" t="str">
        <f>IF(COUNTA(O4:O65536)=0,"","04")</f>
        <v/>
      </c>
      <c r="P3" s="61" t="str">
        <f>IF(COUNTA(P4:P65536)=0,"","05")</f>
        <v/>
      </c>
      <c r="Q3" s="61" t="str">
        <f t="shared" ref="Q3:R3" si="0">IF(COUNTA(Q4:Q65536)=0,"","05")</f>
        <v/>
      </c>
      <c r="R3" s="61" t="str">
        <f t="shared" si="0"/>
        <v/>
      </c>
      <c r="S3" s="61" t="str">
        <f>IF(COUNTA(S4:S65536)=0,"","06")</f>
        <v>06</v>
      </c>
      <c r="T3" s="61" t="str">
        <f t="shared" ref="T3:CE3" si="1">IF(COUNTA(T4:T65536)=0,"","06")</f>
        <v/>
      </c>
      <c r="U3" s="61" t="str">
        <f t="shared" si="1"/>
        <v/>
      </c>
      <c r="V3" s="61" t="str">
        <f t="shared" si="1"/>
        <v/>
      </c>
      <c r="W3" s="61" t="str">
        <f t="shared" si="1"/>
        <v/>
      </c>
      <c r="X3" s="61" t="str">
        <f t="shared" si="1"/>
        <v/>
      </c>
      <c r="Y3" s="61" t="str">
        <f t="shared" si="1"/>
        <v/>
      </c>
      <c r="Z3" s="61" t="str">
        <f t="shared" si="1"/>
        <v/>
      </c>
      <c r="AA3" s="61" t="str">
        <f t="shared" si="1"/>
        <v/>
      </c>
      <c r="AB3" s="61" t="str">
        <f t="shared" si="1"/>
        <v/>
      </c>
      <c r="AC3" s="61" t="str">
        <f t="shared" si="1"/>
        <v/>
      </c>
      <c r="AD3" s="61" t="str">
        <f t="shared" si="1"/>
        <v/>
      </c>
      <c r="AE3" s="61" t="str">
        <f t="shared" si="1"/>
        <v/>
      </c>
      <c r="AF3" s="61" t="str">
        <f t="shared" si="1"/>
        <v/>
      </c>
      <c r="AG3" s="61" t="str">
        <f t="shared" si="1"/>
        <v/>
      </c>
      <c r="AH3" s="61" t="str">
        <f t="shared" si="1"/>
        <v/>
      </c>
      <c r="AI3" s="61" t="str">
        <f t="shared" si="1"/>
        <v/>
      </c>
      <c r="AJ3" s="61" t="str">
        <f t="shared" si="1"/>
        <v/>
      </c>
      <c r="AK3" s="61" t="str">
        <f t="shared" si="1"/>
        <v/>
      </c>
      <c r="AL3" s="61" t="str">
        <f t="shared" si="1"/>
        <v/>
      </c>
      <c r="AM3" s="61" t="str">
        <f t="shared" si="1"/>
        <v/>
      </c>
      <c r="AN3" s="61" t="str">
        <f t="shared" si="1"/>
        <v/>
      </c>
      <c r="AO3" s="61" t="str">
        <f t="shared" si="1"/>
        <v/>
      </c>
      <c r="AP3" s="61" t="str">
        <f t="shared" si="1"/>
        <v/>
      </c>
      <c r="AQ3" s="61" t="str">
        <f t="shared" si="1"/>
        <v/>
      </c>
      <c r="AR3" s="61" t="str">
        <f t="shared" si="1"/>
        <v/>
      </c>
      <c r="AS3" s="61" t="str">
        <f t="shared" si="1"/>
        <v/>
      </c>
      <c r="AT3" s="61" t="str">
        <f t="shared" si="1"/>
        <v/>
      </c>
      <c r="AU3" s="61" t="str">
        <f t="shared" si="1"/>
        <v/>
      </c>
      <c r="AV3" s="61" t="str">
        <f t="shared" si="1"/>
        <v/>
      </c>
      <c r="AW3" s="61" t="str">
        <f t="shared" si="1"/>
        <v/>
      </c>
      <c r="AX3" s="61" t="str">
        <f t="shared" si="1"/>
        <v>06</v>
      </c>
      <c r="AY3" s="61" t="str">
        <f t="shared" si="1"/>
        <v/>
      </c>
      <c r="AZ3" s="61" t="str">
        <f t="shared" si="1"/>
        <v/>
      </c>
      <c r="BA3" s="61" t="str">
        <f t="shared" si="1"/>
        <v/>
      </c>
      <c r="BB3" s="61" t="str">
        <f t="shared" si="1"/>
        <v>06</v>
      </c>
      <c r="BC3" s="61" t="str">
        <f t="shared" si="1"/>
        <v/>
      </c>
      <c r="BD3" s="61" t="str">
        <f t="shared" si="1"/>
        <v>06</v>
      </c>
      <c r="BE3" s="61" t="str">
        <f t="shared" si="1"/>
        <v>06</v>
      </c>
      <c r="BF3" s="61" t="str">
        <f t="shared" si="1"/>
        <v>06</v>
      </c>
      <c r="BG3" s="61" t="str">
        <f t="shared" si="1"/>
        <v/>
      </c>
      <c r="BH3" s="61" t="str">
        <f t="shared" si="1"/>
        <v>06</v>
      </c>
      <c r="BI3" s="61" t="str">
        <f t="shared" si="1"/>
        <v/>
      </c>
      <c r="BJ3" s="61" t="str">
        <f t="shared" si="1"/>
        <v>06</v>
      </c>
      <c r="BK3" s="61" t="str">
        <f t="shared" si="1"/>
        <v/>
      </c>
      <c r="BL3" s="61" t="str">
        <f t="shared" si="1"/>
        <v/>
      </c>
      <c r="BM3" s="61" t="str">
        <f t="shared" si="1"/>
        <v/>
      </c>
      <c r="BN3" s="61" t="str">
        <f t="shared" si="1"/>
        <v>06</v>
      </c>
      <c r="BO3" s="61" t="str">
        <f t="shared" si="1"/>
        <v/>
      </c>
      <c r="BP3" s="61" t="str">
        <f t="shared" si="1"/>
        <v/>
      </c>
      <c r="BQ3" s="61" t="str">
        <f t="shared" si="1"/>
        <v/>
      </c>
      <c r="BR3" s="61" t="str">
        <f t="shared" si="1"/>
        <v/>
      </c>
      <c r="BS3" s="61" t="str">
        <f t="shared" si="1"/>
        <v/>
      </c>
      <c r="BT3" s="61" t="str">
        <f t="shared" si="1"/>
        <v/>
      </c>
      <c r="BU3" s="61" t="str">
        <f t="shared" si="1"/>
        <v/>
      </c>
      <c r="BV3" s="61" t="str">
        <f t="shared" si="1"/>
        <v/>
      </c>
      <c r="BW3" s="61" t="str">
        <f t="shared" si="1"/>
        <v/>
      </c>
      <c r="BX3" s="61" t="str">
        <f t="shared" si="1"/>
        <v/>
      </c>
      <c r="BY3" s="61" t="str">
        <f t="shared" si="1"/>
        <v/>
      </c>
      <c r="BZ3" s="61" t="str">
        <f t="shared" si="1"/>
        <v/>
      </c>
      <c r="CA3" s="61" t="str">
        <f t="shared" si="1"/>
        <v/>
      </c>
      <c r="CB3" s="61" t="str">
        <f t="shared" si="1"/>
        <v/>
      </c>
      <c r="CC3" s="61" t="str">
        <f t="shared" si="1"/>
        <v/>
      </c>
      <c r="CD3" s="61" t="str">
        <f t="shared" si="1"/>
        <v/>
      </c>
      <c r="CE3" s="61" t="str">
        <f t="shared" si="1"/>
        <v/>
      </c>
      <c r="CF3" s="61" t="str">
        <f t="shared" ref="CF3:EQ3" si="2">IF(COUNTA(CF4:CF65536)=0,"","06")</f>
        <v/>
      </c>
      <c r="CG3" s="61" t="str">
        <f t="shared" si="2"/>
        <v/>
      </c>
      <c r="CH3" s="61" t="str">
        <f t="shared" si="2"/>
        <v/>
      </c>
      <c r="CI3" s="61" t="str">
        <f t="shared" si="2"/>
        <v/>
      </c>
      <c r="CJ3" s="61" t="str">
        <f t="shared" si="2"/>
        <v/>
      </c>
      <c r="CK3" s="61" t="str">
        <f t="shared" si="2"/>
        <v/>
      </c>
      <c r="CL3" s="61" t="str">
        <f t="shared" si="2"/>
        <v/>
      </c>
      <c r="CM3" s="61" t="str">
        <f t="shared" si="2"/>
        <v/>
      </c>
      <c r="CN3" s="61" t="str">
        <f t="shared" si="2"/>
        <v/>
      </c>
      <c r="CO3" s="61" t="str">
        <f t="shared" si="2"/>
        <v/>
      </c>
      <c r="CP3" s="61" t="str">
        <f t="shared" si="2"/>
        <v/>
      </c>
      <c r="CQ3" s="61" t="str">
        <f t="shared" si="2"/>
        <v/>
      </c>
      <c r="CR3" s="61" t="str">
        <f t="shared" si="2"/>
        <v/>
      </c>
      <c r="CS3" s="61" t="str">
        <f t="shared" si="2"/>
        <v/>
      </c>
      <c r="CT3" s="61" t="str">
        <f t="shared" si="2"/>
        <v/>
      </c>
      <c r="CU3" s="61" t="str">
        <f t="shared" si="2"/>
        <v/>
      </c>
      <c r="CV3" s="61" t="str">
        <f t="shared" si="2"/>
        <v/>
      </c>
      <c r="CW3" s="61" t="str">
        <f t="shared" si="2"/>
        <v/>
      </c>
      <c r="CX3" s="61" t="str">
        <f t="shared" si="2"/>
        <v/>
      </c>
      <c r="CY3" s="61" t="str">
        <f t="shared" si="2"/>
        <v/>
      </c>
      <c r="CZ3" s="61" t="str">
        <f t="shared" si="2"/>
        <v/>
      </c>
      <c r="DA3" s="61" t="str">
        <f t="shared" si="2"/>
        <v/>
      </c>
      <c r="DB3" s="61" t="str">
        <f t="shared" si="2"/>
        <v/>
      </c>
      <c r="DC3" s="61" t="str">
        <f t="shared" si="2"/>
        <v/>
      </c>
      <c r="DD3" s="61" t="str">
        <f t="shared" si="2"/>
        <v/>
      </c>
      <c r="DE3" s="61" t="str">
        <f t="shared" si="2"/>
        <v/>
      </c>
      <c r="DF3" s="61" t="str">
        <f t="shared" si="2"/>
        <v/>
      </c>
      <c r="DG3" s="61" t="str">
        <f t="shared" si="2"/>
        <v/>
      </c>
      <c r="DH3" s="61" t="str">
        <f t="shared" si="2"/>
        <v/>
      </c>
      <c r="DI3" s="61" t="str">
        <f t="shared" si="2"/>
        <v/>
      </c>
      <c r="DJ3" s="61" t="str">
        <f t="shared" si="2"/>
        <v/>
      </c>
      <c r="DK3" s="61" t="str">
        <f t="shared" si="2"/>
        <v/>
      </c>
      <c r="DL3" s="61" t="str">
        <f t="shared" si="2"/>
        <v/>
      </c>
      <c r="DM3" s="61" t="str">
        <f t="shared" si="2"/>
        <v/>
      </c>
      <c r="DN3" s="61" t="str">
        <f t="shared" si="2"/>
        <v/>
      </c>
      <c r="DO3" s="61" t="str">
        <f t="shared" si="2"/>
        <v/>
      </c>
      <c r="DP3" s="61" t="str">
        <f t="shared" si="2"/>
        <v/>
      </c>
      <c r="DQ3" s="61" t="str">
        <f t="shared" si="2"/>
        <v/>
      </c>
      <c r="DR3" s="61" t="str">
        <f t="shared" si="2"/>
        <v/>
      </c>
      <c r="DS3" s="61" t="str">
        <f t="shared" si="2"/>
        <v/>
      </c>
      <c r="DT3" s="61" t="str">
        <f t="shared" si="2"/>
        <v/>
      </c>
      <c r="DU3" s="61" t="str">
        <f t="shared" si="2"/>
        <v/>
      </c>
      <c r="DV3" s="61" t="str">
        <f t="shared" si="2"/>
        <v/>
      </c>
      <c r="DW3" s="61" t="str">
        <f t="shared" si="2"/>
        <v/>
      </c>
      <c r="DX3" s="61" t="str">
        <f t="shared" si="2"/>
        <v/>
      </c>
      <c r="DY3" s="61" t="str">
        <f t="shared" si="2"/>
        <v/>
      </c>
      <c r="DZ3" s="61" t="str">
        <f t="shared" si="2"/>
        <v/>
      </c>
      <c r="EA3" s="61" t="str">
        <f t="shared" si="2"/>
        <v/>
      </c>
      <c r="EB3" s="61" t="str">
        <f t="shared" si="2"/>
        <v/>
      </c>
      <c r="EC3" s="61" t="str">
        <f t="shared" si="2"/>
        <v/>
      </c>
      <c r="ED3" s="61" t="str">
        <f t="shared" si="2"/>
        <v/>
      </c>
      <c r="EE3" s="61" t="str">
        <f t="shared" si="2"/>
        <v/>
      </c>
      <c r="EF3" s="61" t="str">
        <f t="shared" si="2"/>
        <v/>
      </c>
      <c r="EG3" s="61" t="str">
        <f t="shared" si="2"/>
        <v/>
      </c>
      <c r="EH3" s="61" t="str">
        <f t="shared" si="2"/>
        <v/>
      </c>
      <c r="EI3" s="61" t="str">
        <f t="shared" si="2"/>
        <v/>
      </c>
      <c r="EJ3" s="61" t="str">
        <f t="shared" si="2"/>
        <v/>
      </c>
      <c r="EK3" s="61" t="str">
        <f t="shared" si="2"/>
        <v/>
      </c>
      <c r="EL3" s="61" t="str">
        <f t="shared" si="2"/>
        <v/>
      </c>
      <c r="EM3" s="61" t="str">
        <f t="shared" si="2"/>
        <v/>
      </c>
      <c r="EN3" s="61" t="str">
        <f t="shared" si="2"/>
        <v/>
      </c>
      <c r="EO3" s="61" t="str">
        <f t="shared" si="2"/>
        <v/>
      </c>
      <c r="EP3" s="61" t="str">
        <f t="shared" si="2"/>
        <v/>
      </c>
      <c r="EQ3" s="61" t="str">
        <f t="shared" si="2"/>
        <v/>
      </c>
      <c r="ER3" s="61" t="str">
        <f t="shared" ref="ER3:HC3" si="3">IF(COUNTA(ER4:ER65536)=0,"","06")</f>
        <v/>
      </c>
      <c r="ES3" s="61" t="str">
        <f t="shared" si="3"/>
        <v/>
      </c>
      <c r="ET3" s="61" t="str">
        <f t="shared" si="3"/>
        <v/>
      </c>
      <c r="EU3" s="61" t="str">
        <f t="shared" si="3"/>
        <v/>
      </c>
      <c r="EV3" s="61" t="str">
        <f t="shared" si="3"/>
        <v/>
      </c>
      <c r="EW3" s="61" t="str">
        <f t="shared" si="3"/>
        <v/>
      </c>
      <c r="EX3" s="61" t="str">
        <f t="shared" si="3"/>
        <v/>
      </c>
      <c r="EY3" s="61" t="str">
        <f t="shared" si="3"/>
        <v/>
      </c>
      <c r="EZ3" s="61" t="str">
        <f t="shared" si="3"/>
        <v/>
      </c>
      <c r="FA3" s="61" t="str">
        <f t="shared" si="3"/>
        <v/>
      </c>
      <c r="FB3" s="61" t="str">
        <f t="shared" si="3"/>
        <v/>
      </c>
      <c r="FC3" s="61" t="str">
        <f t="shared" si="3"/>
        <v/>
      </c>
      <c r="FD3" s="61" t="str">
        <f t="shared" si="3"/>
        <v/>
      </c>
      <c r="FE3" s="61" t="str">
        <f t="shared" si="3"/>
        <v/>
      </c>
      <c r="FF3" s="61" t="str">
        <f t="shared" si="3"/>
        <v/>
      </c>
      <c r="FG3" s="61" t="str">
        <f t="shared" si="3"/>
        <v/>
      </c>
      <c r="FH3" s="61" t="str">
        <f t="shared" si="3"/>
        <v/>
      </c>
      <c r="FI3" s="61" t="str">
        <f t="shared" si="3"/>
        <v/>
      </c>
      <c r="FJ3" s="61" t="str">
        <f t="shared" si="3"/>
        <v/>
      </c>
      <c r="FK3" s="61" t="str">
        <f t="shared" si="3"/>
        <v/>
      </c>
      <c r="FL3" s="61" t="str">
        <f t="shared" si="3"/>
        <v/>
      </c>
      <c r="FM3" s="61" t="str">
        <f t="shared" si="3"/>
        <v/>
      </c>
      <c r="FN3" s="61" t="str">
        <f t="shared" si="3"/>
        <v/>
      </c>
      <c r="FO3" s="61" t="str">
        <f t="shared" si="3"/>
        <v/>
      </c>
      <c r="FP3" s="61" t="str">
        <f t="shared" si="3"/>
        <v/>
      </c>
      <c r="FQ3" s="61" t="str">
        <f t="shared" si="3"/>
        <v/>
      </c>
      <c r="FR3" s="61" t="str">
        <f t="shared" si="3"/>
        <v/>
      </c>
      <c r="FS3" s="61" t="str">
        <f t="shared" si="3"/>
        <v/>
      </c>
      <c r="FT3" s="61" t="str">
        <f t="shared" si="3"/>
        <v/>
      </c>
      <c r="FU3" s="61" t="str">
        <f t="shared" si="3"/>
        <v/>
      </c>
      <c r="FV3" s="61" t="str">
        <f t="shared" si="3"/>
        <v/>
      </c>
      <c r="FW3" s="61" t="str">
        <f t="shared" si="3"/>
        <v/>
      </c>
      <c r="FX3" s="61" t="str">
        <f t="shared" si="3"/>
        <v/>
      </c>
      <c r="FY3" s="61" t="str">
        <f t="shared" si="3"/>
        <v/>
      </c>
      <c r="FZ3" s="61" t="str">
        <f t="shared" si="3"/>
        <v/>
      </c>
      <c r="GA3" s="61" t="str">
        <f t="shared" si="3"/>
        <v/>
      </c>
      <c r="GB3" s="61" t="str">
        <f t="shared" si="3"/>
        <v/>
      </c>
      <c r="GC3" s="61" t="str">
        <f t="shared" si="3"/>
        <v/>
      </c>
      <c r="GD3" s="61" t="str">
        <f t="shared" si="3"/>
        <v/>
      </c>
      <c r="GE3" s="61" t="str">
        <f t="shared" si="3"/>
        <v/>
      </c>
      <c r="GF3" s="61" t="str">
        <f t="shared" si="3"/>
        <v/>
      </c>
      <c r="GG3" s="61" t="str">
        <f t="shared" si="3"/>
        <v/>
      </c>
      <c r="GH3" s="61" t="str">
        <f t="shared" si="3"/>
        <v/>
      </c>
      <c r="GI3" s="61" t="str">
        <f t="shared" si="3"/>
        <v/>
      </c>
      <c r="GJ3" s="61" t="str">
        <f t="shared" si="3"/>
        <v/>
      </c>
      <c r="GK3" s="61" t="str">
        <f t="shared" si="3"/>
        <v/>
      </c>
      <c r="GL3" s="61" t="str">
        <f t="shared" si="3"/>
        <v/>
      </c>
      <c r="GM3" s="61" t="str">
        <f t="shared" si="3"/>
        <v/>
      </c>
      <c r="GN3" s="61" t="str">
        <f t="shared" si="3"/>
        <v/>
      </c>
      <c r="GO3" s="61" t="str">
        <f t="shared" si="3"/>
        <v/>
      </c>
      <c r="GP3" s="61" t="str">
        <f t="shared" si="3"/>
        <v/>
      </c>
      <c r="GQ3" s="61" t="str">
        <f t="shared" si="3"/>
        <v/>
      </c>
      <c r="GR3" s="61" t="str">
        <f t="shared" si="3"/>
        <v/>
      </c>
      <c r="GS3" s="61" t="str">
        <f t="shared" si="3"/>
        <v/>
      </c>
      <c r="GT3" s="61" t="str">
        <f t="shared" si="3"/>
        <v/>
      </c>
      <c r="GU3" s="61" t="str">
        <f t="shared" si="3"/>
        <v/>
      </c>
      <c r="GV3" s="61" t="str">
        <f t="shared" si="3"/>
        <v/>
      </c>
      <c r="GW3" s="61" t="str">
        <f t="shared" si="3"/>
        <v/>
      </c>
      <c r="GX3" s="61" t="str">
        <f t="shared" si="3"/>
        <v/>
      </c>
      <c r="GY3" s="61" t="str">
        <f t="shared" si="3"/>
        <v/>
      </c>
      <c r="GZ3" s="61" t="str">
        <f t="shared" si="3"/>
        <v/>
      </c>
      <c r="HA3" s="61" t="str">
        <f t="shared" si="3"/>
        <v/>
      </c>
      <c r="HB3" s="61" t="str">
        <f t="shared" si="3"/>
        <v/>
      </c>
      <c r="HC3" s="61" t="str">
        <f t="shared" si="3"/>
        <v/>
      </c>
      <c r="HD3" s="61" t="str">
        <f t="shared" ref="HD3:HS3" si="4">IF(COUNTA(HD4:HD65536)=0,"","06")</f>
        <v/>
      </c>
      <c r="HE3" s="61" t="str">
        <f t="shared" si="4"/>
        <v/>
      </c>
      <c r="HF3" s="61" t="str">
        <f t="shared" si="4"/>
        <v/>
      </c>
      <c r="HG3" s="61" t="str">
        <f t="shared" si="4"/>
        <v/>
      </c>
      <c r="HH3" s="61" t="str">
        <f t="shared" si="4"/>
        <v/>
      </c>
      <c r="HI3" s="61" t="str">
        <f t="shared" si="4"/>
        <v/>
      </c>
      <c r="HJ3" s="61" t="str">
        <f t="shared" si="4"/>
        <v/>
      </c>
      <c r="HK3" s="61" t="str">
        <f t="shared" si="4"/>
        <v/>
      </c>
      <c r="HL3" s="61" t="str">
        <f t="shared" si="4"/>
        <v/>
      </c>
      <c r="HM3" s="61" t="str">
        <f t="shared" si="4"/>
        <v/>
      </c>
      <c r="HN3" s="61" t="str">
        <f t="shared" si="4"/>
        <v/>
      </c>
      <c r="HO3" s="61" t="str">
        <f t="shared" si="4"/>
        <v/>
      </c>
      <c r="HP3" s="61" t="str">
        <f t="shared" si="4"/>
        <v/>
      </c>
      <c r="HQ3" s="61" t="str">
        <f t="shared" si="4"/>
        <v/>
      </c>
      <c r="HR3" s="61" t="str">
        <f t="shared" si="4"/>
        <v/>
      </c>
      <c r="HS3" s="61" t="str">
        <f t="shared" si="4"/>
        <v/>
      </c>
      <c r="HT3" s="61" t="str">
        <f>IF(COUNTA(HT4:HT65536)=0,"","06")</f>
        <v/>
      </c>
      <c r="HU3" s="61" t="str">
        <f>IF(COUNTA(HU4:HU65536)=0,"","06")</f>
        <v/>
      </c>
      <c r="HV3" s="61" t="str">
        <f>IF(COUNTA(HV4:HV65536)=0,"","06")</f>
        <v/>
      </c>
      <c r="HW3" s="61" t="str">
        <f>IF(COUNTA(HW4:HW65536)=0,"","06")</f>
        <v/>
      </c>
    </row>
    <row r="4" spans="1:231" s="12" customFormat="1" x14ac:dyDescent="0.2">
      <c r="A4" s="11" t="s">
        <v>7585</v>
      </c>
      <c r="B4" s="12" t="s">
        <v>6195</v>
      </c>
      <c r="D4" s="12" t="s">
        <v>6359</v>
      </c>
      <c r="E4" s="12" t="s">
        <v>7</v>
      </c>
      <c r="F4" s="12" t="s">
        <v>6360</v>
      </c>
      <c r="G4" s="12" t="s">
        <v>6198</v>
      </c>
      <c r="J4" s="12" t="s">
        <v>6199</v>
      </c>
      <c r="K4" s="12">
        <v>1989</v>
      </c>
      <c r="L4" s="12" t="s">
        <v>6200</v>
      </c>
      <c r="M4" s="12" t="s">
        <v>6201</v>
      </c>
      <c r="N4" s="12">
        <v>1.1000000000000001</v>
      </c>
      <c r="S4" s="12">
        <v>78</v>
      </c>
      <c r="AX4" s="14">
        <v>7</v>
      </c>
      <c r="AY4" s="14"/>
      <c r="AZ4" s="14"/>
      <c r="BA4" s="14"/>
      <c r="BB4" s="12">
        <v>0.3</v>
      </c>
      <c r="BD4" s="12">
        <v>455</v>
      </c>
      <c r="BE4" s="13">
        <v>14</v>
      </c>
      <c r="BF4" s="12">
        <v>0.17</v>
      </c>
      <c r="BG4" s="13"/>
      <c r="BH4" s="12">
        <v>9</v>
      </c>
      <c r="BJ4" s="12">
        <v>40</v>
      </c>
      <c r="BN4" s="12">
        <v>0.3</v>
      </c>
    </row>
    <row r="5" spans="1:231" s="12" customFormat="1" x14ac:dyDescent="0.2">
      <c r="A5" s="11" t="s">
        <v>7586</v>
      </c>
      <c r="B5" s="12" t="s">
        <v>6195</v>
      </c>
      <c r="D5" s="12" t="s">
        <v>6361</v>
      </c>
      <c r="E5" s="12" t="s">
        <v>7</v>
      </c>
      <c r="F5" s="12" t="s">
        <v>6362</v>
      </c>
      <c r="G5" s="12" t="s">
        <v>6198</v>
      </c>
      <c r="J5" s="12" t="s">
        <v>6199</v>
      </c>
      <c r="K5" s="12">
        <v>1989</v>
      </c>
      <c r="L5" s="12" t="s">
        <v>6200</v>
      </c>
      <c r="M5" s="12" t="s">
        <v>6201</v>
      </c>
      <c r="N5" s="12">
        <v>1.1000000000000001</v>
      </c>
      <c r="S5" s="12">
        <v>72</v>
      </c>
      <c r="AX5" s="14">
        <v>9</v>
      </c>
      <c r="AY5" s="14"/>
      <c r="AZ5" s="14"/>
      <c r="BA5" s="14"/>
      <c r="BE5" s="13"/>
      <c r="BF5" s="12">
        <v>0.74</v>
      </c>
      <c r="BG5" s="13"/>
      <c r="BJ5" s="12">
        <v>26</v>
      </c>
      <c r="BN5" s="12">
        <v>0.2</v>
      </c>
    </row>
    <row r="6" spans="1:231" s="12" customFormat="1" x14ac:dyDescent="0.2">
      <c r="A6" s="11" t="s">
        <v>7587</v>
      </c>
      <c r="B6" s="12" t="s">
        <v>6195</v>
      </c>
      <c r="D6" s="12" t="s">
        <v>6363</v>
      </c>
      <c r="E6" s="12" t="s">
        <v>7</v>
      </c>
      <c r="F6" s="12" t="s">
        <v>6364</v>
      </c>
      <c r="G6" s="12" t="s">
        <v>6198</v>
      </c>
      <c r="J6" s="12" t="s">
        <v>6199</v>
      </c>
      <c r="K6" s="12">
        <v>1989</v>
      </c>
      <c r="L6" s="12" t="s">
        <v>6200</v>
      </c>
      <c r="M6" s="12" t="s">
        <v>6201</v>
      </c>
      <c r="N6" s="12">
        <v>1.1000000000000001</v>
      </c>
      <c r="S6" s="12">
        <v>72</v>
      </c>
      <c r="AX6" s="14">
        <v>67</v>
      </c>
      <c r="AY6" s="14"/>
      <c r="AZ6" s="14"/>
      <c r="BA6" s="14"/>
      <c r="BB6" s="12">
        <v>0.7</v>
      </c>
      <c r="BD6" s="12">
        <v>434</v>
      </c>
      <c r="BE6" s="13">
        <v>40</v>
      </c>
      <c r="BF6" s="12">
        <v>2.44</v>
      </c>
      <c r="BG6" s="13"/>
      <c r="BH6" s="12">
        <v>11</v>
      </c>
      <c r="BJ6" s="12">
        <v>45</v>
      </c>
      <c r="BN6" s="12">
        <v>0.6</v>
      </c>
    </row>
    <row r="7" spans="1:231" s="12" customFormat="1" x14ac:dyDescent="0.2">
      <c r="A7" s="11" t="s">
        <v>7588</v>
      </c>
      <c r="B7" s="12" t="s">
        <v>6195</v>
      </c>
      <c r="D7" s="12" t="s">
        <v>6365</v>
      </c>
      <c r="E7" s="12" t="s">
        <v>7</v>
      </c>
      <c r="F7" s="12" t="s">
        <v>6366</v>
      </c>
      <c r="G7" s="12" t="s">
        <v>6198</v>
      </c>
      <c r="J7" s="12" t="s">
        <v>6199</v>
      </c>
      <c r="K7" s="12">
        <v>1989</v>
      </c>
      <c r="L7" s="12" t="s">
        <v>6200</v>
      </c>
      <c r="M7" s="12" t="s">
        <v>6201</v>
      </c>
      <c r="N7" s="12">
        <v>1.1000000000000001</v>
      </c>
      <c r="S7" s="12">
        <v>83</v>
      </c>
      <c r="AX7" s="14">
        <v>7</v>
      </c>
      <c r="AY7" s="14"/>
      <c r="AZ7" s="14"/>
      <c r="BA7" s="14"/>
      <c r="BB7" s="12">
        <v>0.1</v>
      </c>
      <c r="BD7" s="12">
        <v>282</v>
      </c>
      <c r="BE7" s="13">
        <v>18</v>
      </c>
      <c r="BF7" s="12">
        <v>0.09</v>
      </c>
      <c r="BG7" s="13"/>
      <c r="BH7" s="12">
        <v>7</v>
      </c>
      <c r="BJ7" s="12">
        <v>28</v>
      </c>
      <c r="BN7" s="12">
        <v>0.2</v>
      </c>
    </row>
    <row r="8" spans="1:231" s="12" customFormat="1" x14ac:dyDescent="0.2">
      <c r="A8" s="11" t="s">
        <v>7589</v>
      </c>
      <c r="B8" s="12" t="s">
        <v>6195</v>
      </c>
      <c r="D8" s="12" t="s">
        <v>6367</v>
      </c>
      <c r="E8" s="12" t="s">
        <v>7</v>
      </c>
      <c r="F8" s="12" t="s">
        <v>6368</v>
      </c>
      <c r="G8" s="12" t="s">
        <v>6198</v>
      </c>
      <c r="J8" s="12" t="s">
        <v>6199</v>
      </c>
      <c r="K8" s="12">
        <v>1989</v>
      </c>
      <c r="L8" s="12" t="s">
        <v>6200</v>
      </c>
      <c r="M8" s="12" t="s">
        <v>6201</v>
      </c>
      <c r="N8" s="12">
        <v>1.1000000000000001</v>
      </c>
      <c r="S8" s="12">
        <v>82</v>
      </c>
      <c r="AX8" s="14">
        <v>12</v>
      </c>
      <c r="AY8" s="14"/>
      <c r="AZ8" s="14"/>
      <c r="BA8" s="14"/>
      <c r="BB8" s="12">
        <v>0.1</v>
      </c>
      <c r="BE8" s="13"/>
      <c r="BF8" s="12">
        <v>0.2</v>
      </c>
      <c r="BG8" s="13"/>
      <c r="BJ8" s="12">
        <v>26</v>
      </c>
      <c r="BN8" s="12">
        <v>0.1</v>
      </c>
    </row>
    <row r="9" spans="1:231" s="12" customFormat="1" x14ac:dyDescent="0.2">
      <c r="A9" s="11" t="s">
        <v>7590</v>
      </c>
      <c r="B9" s="12" t="s">
        <v>6195</v>
      </c>
      <c r="D9" s="12" t="s">
        <v>6369</v>
      </c>
      <c r="E9" s="12" t="s">
        <v>11</v>
      </c>
      <c r="F9" s="12" t="s">
        <v>6368</v>
      </c>
      <c r="G9" s="12" t="s">
        <v>6198</v>
      </c>
      <c r="J9" s="12" t="s">
        <v>6199</v>
      </c>
      <c r="K9" s="12">
        <v>1989</v>
      </c>
      <c r="L9" s="12" t="s">
        <v>6200</v>
      </c>
      <c r="M9" s="12" t="s">
        <v>6201</v>
      </c>
      <c r="N9" s="12">
        <v>1.1000000000000001</v>
      </c>
      <c r="S9" s="12">
        <v>86</v>
      </c>
      <c r="AX9" s="14">
        <v>11</v>
      </c>
      <c r="AY9" s="14"/>
      <c r="AZ9" s="14"/>
      <c r="BA9" s="14"/>
      <c r="BB9" s="12">
        <v>0.1</v>
      </c>
      <c r="BE9" s="13"/>
      <c r="BF9" s="12">
        <v>0.22</v>
      </c>
      <c r="BG9" s="13"/>
      <c r="BJ9" s="12">
        <v>16</v>
      </c>
      <c r="BN9" s="12">
        <v>0.1</v>
      </c>
    </row>
    <row r="10" spans="1:231" s="12" customFormat="1" x14ac:dyDescent="0.2">
      <c r="A10" s="11" t="s">
        <v>7591</v>
      </c>
      <c r="B10" s="12" t="s">
        <v>6267</v>
      </c>
      <c r="D10" s="12" t="s">
        <v>6361</v>
      </c>
      <c r="E10" s="12" t="s">
        <v>7</v>
      </c>
      <c r="F10" s="12" t="s">
        <v>6370</v>
      </c>
      <c r="G10" s="12" t="s">
        <v>6198</v>
      </c>
      <c r="J10" s="12" t="s">
        <v>6199</v>
      </c>
      <c r="K10" s="12">
        <v>1989</v>
      </c>
      <c r="L10" s="12" t="s">
        <v>6200</v>
      </c>
      <c r="M10" s="12" t="s">
        <v>6201</v>
      </c>
      <c r="N10" s="12">
        <v>1.1000000000000001</v>
      </c>
      <c r="S10" s="12">
        <v>72</v>
      </c>
      <c r="AX10" s="12">
        <v>7</v>
      </c>
      <c r="BB10" s="12">
        <v>0.13</v>
      </c>
      <c r="BD10" s="12">
        <v>423</v>
      </c>
      <c r="BE10" s="13">
        <v>36</v>
      </c>
      <c r="BF10" s="12">
        <v>0.15</v>
      </c>
      <c r="BG10" s="13"/>
      <c r="BH10" s="14">
        <v>3</v>
      </c>
      <c r="BI10" s="14"/>
      <c r="BJ10" s="12">
        <v>27</v>
      </c>
      <c r="BN10" s="12">
        <v>0.25</v>
      </c>
    </row>
    <row r="11" spans="1:231" s="12" customFormat="1" x14ac:dyDescent="0.2">
      <c r="A11" s="11" t="s">
        <v>7592</v>
      </c>
      <c r="B11" s="12" t="s">
        <v>6267</v>
      </c>
      <c r="D11" s="12" t="s">
        <v>6365</v>
      </c>
      <c r="E11" s="12" t="s">
        <v>7</v>
      </c>
      <c r="F11" s="12" t="s">
        <v>6366</v>
      </c>
      <c r="G11" s="12" t="s">
        <v>6198</v>
      </c>
      <c r="J11" s="12" t="s">
        <v>6199</v>
      </c>
      <c r="K11" s="12">
        <v>1989</v>
      </c>
      <c r="L11" s="12" t="s">
        <v>6200</v>
      </c>
      <c r="M11" s="12" t="s">
        <v>6201</v>
      </c>
      <c r="N11" s="12">
        <v>1.1000000000000001</v>
      </c>
      <c r="S11" s="12">
        <v>84</v>
      </c>
      <c r="AX11" s="12">
        <v>17</v>
      </c>
      <c r="BB11" s="12">
        <v>0.12</v>
      </c>
      <c r="BD11" s="12">
        <v>343</v>
      </c>
      <c r="BE11" s="13">
        <v>27</v>
      </c>
      <c r="BF11" s="12">
        <v>0.1</v>
      </c>
      <c r="BG11" s="13"/>
      <c r="BH11" s="14">
        <v>4</v>
      </c>
      <c r="BI11" s="14"/>
      <c r="BJ11" s="12">
        <v>36</v>
      </c>
      <c r="BN11" s="12">
        <v>0.21</v>
      </c>
    </row>
    <row r="12" spans="1:231" s="12" customFormat="1" x14ac:dyDescent="0.2">
      <c r="A12" s="11" t="s">
        <v>7593</v>
      </c>
      <c r="B12" s="12" t="s">
        <v>6267</v>
      </c>
      <c r="D12" s="12" t="s">
        <v>6371</v>
      </c>
      <c r="E12" s="12" t="s">
        <v>7</v>
      </c>
      <c r="F12" s="12" t="s">
        <v>6372</v>
      </c>
      <c r="G12" s="12" t="s">
        <v>6198</v>
      </c>
      <c r="J12" s="12" t="s">
        <v>6199</v>
      </c>
      <c r="K12" s="12">
        <v>1989</v>
      </c>
      <c r="L12" s="12" t="s">
        <v>6200</v>
      </c>
      <c r="M12" s="12" t="s">
        <v>6201</v>
      </c>
      <c r="N12" s="12">
        <v>1.1000000000000001</v>
      </c>
      <c r="S12" s="12">
        <v>59</v>
      </c>
      <c r="AX12" s="12">
        <v>44</v>
      </c>
      <c r="BB12" s="12">
        <v>0.23</v>
      </c>
      <c r="BD12" s="12">
        <v>527</v>
      </c>
      <c r="BE12" s="13">
        <v>71</v>
      </c>
      <c r="BF12" s="12">
        <v>0.12</v>
      </c>
      <c r="BG12" s="13"/>
      <c r="BH12" s="14">
        <v>4</v>
      </c>
      <c r="BI12" s="14"/>
      <c r="BJ12" s="12">
        <v>136</v>
      </c>
      <c r="BN12" s="12">
        <v>0.36</v>
      </c>
    </row>
    <row r="13" spans="1:231" s="12" customFormat="1" x14ac:dyDescent="0.2">
      <c r="A13" s="11" t="s">
        <v>7594</v>
      </c>
      <c r="B13" s="12" t="s">
        <v>6267</v>
      </c>
      <c r="D13" s="12" t="s">
        <v>6373</v>
      </c>
      <c r="E13" s="12" t="s">
        <v>7</v>
      </c>
      <c r="F13" s="12" t="s">
        <v>6374</v>
      </c>
      <c r="G13" s="12" t="s">
        <v>6198</v>
      </c>
      <c r="J13" s="12" t="s">
        <v>6199</v>
      </c>
      <c r="K13" s="12">
        <v>1989</v>
      </c>
      <c r="L13" s="12" t="s">
        <v>6200</v>
      </c>
      <c r="M13" s="12" t="s">
        <v>6201</v>
      </c>
      <c r="N13" s="12">
        <v>1.1000000000000001</v>
      </c>
      <c r="S13" s="12">
        <v>70</v>
      </c>
      <c r="AX13" s="12">
        <v>5</v>
      </c>
      <c r="BB13" s="12">
        <v>0.24</v>
      </c>
      <c r="BD13" s="12">
        <v>335</v>
      </c>
      <c r="BE13" s="13">
        <v>33</v>
      </c>
      <c r="BF13" s="12">
        <v>0.25</v>
      </c>
      <c r="BG13" s="13"/>
      <c r="BH13" s="14" t="s">
        <v>6202</v>
      </c>
      <c r="BI13" s="14"/>
      <c r="BJ13" s="12">
        <v>55</v>
      </c>
      <c r="BN13" s="12">
        <v>0.45</v>
      </c>
    </row>
    <row r="14" spans="1:231" s="12" customFormat="1" x14ac:dyDescent="0.2">
      <c r="A14" s="11" t="s">
        <v>7595</v>
      </c>
      <c r="B14" s="12" t="s">
        <v>6267</v>
      </c>
      <c r="D14" s="12" t="s">
        <v>6375</v>
      </c>
      <c r="E14" s="12" t="s">
        <v>7</v>
      </c>
      <c r="F14" s="12" t="s">
        <v>6376</v>
      </c>
      <c r="G14" s="12" t="s">
        <v>6198</v>
      </c>
      <c r="J14" s="12" t="s">
        <v>6199</v>
      </c>
      <c r="K14" s="12">
        <v>1989</v>
      </c>
      <c r="L14" s="12" t="s">
        <v>6200</v>
      </c>
      <c r="M14" s="12" t="s">
        <v>6201</v>
      </c>
      <c r="N14" s="12">
        <v>1.1000000000000001</v>
      </c>
      <c r="S14" s="12">
        <v>89</v>
      </c>
      <c r="BB14" s="12">
        <v>7.0000000000000007E-2</v>
      </c>
      <c r="BE14" s="13"/>
      <c r="BF14" s="12">
        <v>0.13</v>
      </c>
      <c r="BG14" s="13"/>
      <c r="BN14" s="12">
        <v>0.28000000000000003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Copyright</vt:lpstr>
      <vt:lpstr>Codes</vt:lpstr>
      <vt:lpstr>Food groups</vt:lpstr>
      <vt:lpstr>01 Cereals</vt:lpstr>
      <vt:lpstr>02 Starchy Roots &amp; Tubers</vt:lpstr>
      <vt:lpstr>03 Legumes</vt:lpstr>
      <vt:lpstr>04 Nuts &amp; Seeds</vt:lpstr>
      <vt:lpstr>05 Vegetables</vt:lpstr>
      <vt:lpstr>06 Fruits</vt:lpstr>
      <vt:lpstr>07 Meat</vt:lpstr>
      <vt:lpstr>08 Eggs</vt:lpstr>
      <vt:lpstr>09 Fish &amp; Shellfish</vt:lpstr>
      <vt:lpstr>09 Fish &amp; Shellfish_fatty acids</vt:lpstr>
      <vt:lpstr>10 Milk</vt:lpstr>
      <vt:lpstr>11 Herbs &amp; Spices</vt:lpstr>
      <vt:lpstr>12 Miscellaneous</vt:lpstr>
      <vt:lpstr>Components</vt:lpstr>
      <vt:lpstr>Bibliography</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Doris Rittenschober (AGND)</dc:creator>
  <cp:lastModifiedBy>Chiara Deligia (ESN)</cp:lastModifiedBy>
  <dcterms:created xsi:type="dcterms:W3CDTF">2012-12-19T10:57:26Z</dcterms:created>
  <dcterms:modified xsi:type="dcterms:W3CDTF">2016-04-12T15:50:35Z</dcterms:modified>
</cp:coreProperties>
</file>