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<sst xmlns="http://schemas.openxmlformats.org/spreadsheetml/2006/main" count="1627" uniqueCount="267">
  <si>
    <t>Ecosystem</t>
  </si>
  <si>
    <t>Habitat</t>
  </si>
  <si>
    <t>ID</t>
  </si>
  <si>
    <t>Taxa</t>
  </si>
  <si>
    <t>Phyto Class</t>
  </si>
  <si>
    <t>Original Study</t>
  </si>
  <si>
    <t xml:space="preserve">Data from </t>
  </si>
  <si>
    <t>Common name</t>
  </si>
  <si>
    <t>% 22:6n3 (DHA)</t>
  </si>
  <si>
    <t>% 18:3n3 (ALA)</t>
  </si>
  <si>
    <t>%18:4n3 (STA)</t>
  </si>
  <si>
    <t>%20:4n-3 (ETA)</t>
  </si>
  <si>
    <t>%20:5n3 (EPA)</t>
  </si>
  <si>
    <t>%22:5n3 (DPA)</t>
  </si>
  <si>
    <t>%Total n-3 PUFA</t>
  </si>
  <si>
    <t>%18:2n6 (LA aka LNA)</t>
  </si>
  <si>
    <t>%18:3n6 (GLA)</t>
  </si>
  <si>
    <t>%20:3n6 (DGLA)</t>
  </si>
  <si>
    <t>%20:4n6 (ARA)</t>
  </si>
  <si>
    <t>%22:4n6(DTA)</t>
  </si>
  <si>
    <t>%22:5n6 (DPAn-6)</t>
  </si>
  <si>
    <t>% Total n-6 PUFA</t>
  </si>
  <si>
    <t>Freshwater</t>
  </si>
  <si>
    <t>Pelagic</t>
  </si>
  <si>
    <t>Algae</t>
  </si>
  <si>
    <t>Cyclotella</t>
  </si>
  <si>
    <t>Bacillariophyceae</t>
  </si>
  <si>
    <t>Muller-Navarra 1995 (L&amp;O)</t>
  </si>
  <si>
    <t>Twining et al. 2016</t>
  </si>
  <si>
    <t>Cladophora</t>
  </si>
  <si>
    <t>Chlorophyceae</t>
  </si>
  <si>
    <t>Napolitano 1994 (J Phycol)</t>
  </si>
  <si>
    <t>Lab Chlamydomonas</t>
  </si>
  <si>
    <t>Ahlgren et al 1992 (J Phycol)</t>
  </si>
  <si>
    <t>Lab Scenedesmus acutus</t>
  </si>
  <si>
    <t>Lab Scenedesmus quadricaula</t>
  </si>
  <si>
    <t>Monoraphidium minutum</t>
  </si>
  <si>
    <t>Wacker et al 2002 (L&amp;O)</t>
  </si>
  <si>
    <t>Nannochloropsis limnetica</t>
  </si>
  <si>
    <t>Scenedesmus</t>
  </si>
  <si>
    <t>Lab Chromulina chinophila</t>
  </si>
  <si>
    <t>Chrysophyceae</t>
  </si>
  <si>
    <t>Lab Crytomonas</t>
  </si>
  <si>
    <t>Cryptomonadaceae</t>
  </si>
  <si>
    <t>Lab Rhodomonas lacustris</t>
  </si>
  <si>
    <t>Cryptophyceae</t>
  </si>
  <si>
    <t>Oocystis</t>
  </si>
  <si>
    <t>Patil et al 2007 (Aquaculture International)</t>
  </si>
  <si>
    <t>Rhodomonas</t>
  </si>
  <si>
    <t>Wenzel et al. 2012 (Fresh Biol)</t>
  </si>
  <si>
    <t>Lab Microcystis aeruginosa</t>
  </si>
  <si>
    <t>Cyanophyta</t>
  </si>
  <si>
    <t>Lab Microcystis wesenbergii</t>
  </si>
  <si>
    <t>Lab Spirulina</t>
  </si>
  <si>
    <t>Lab Anabaena</t>
  </si>
  <si>
    <t>Lab Nostoc muscorum</t>
  </si>
  <si>
    <t>Lab Oscillatoria agardhii</t>
  </si>
  <si>
    <t>Synechococcus elongatus</t>
  </si>
  <si>
    <t>Martin-Creuzburg et al 2009 (Proc B)</t>
  </si>
  <si>
    <t>Lab Peridinium cinctum</t>
  </si>
  <si>
    <t>Dinophyceae</t>
  </si>
  <si>
    <t>Lab Peridinopsis borgei</t>
  </si>
  <si>
    <t>Gammaproteobacteria</t>
  </si>
  <si>
    <t>Benthic</t>
  </si>
  <si>
    <t>Lab periphyton</t>
  </si>
  <si>
    <t>Mix</t>
  </si>
  <si>
    <t>Microbial Mat</t>
  </si>
  <si>
    <t>Boechat et al 2011 (FEMS Micro)</t>
  </si>
  <si>
    <t>n/a</t>
  </si>
  <si>
    <t>Periphyton</t>
  </si>
  <si>
    <t>Volk and Kiffney 2012 (Aquatic Ecology)</t>
  </si>
  <si>
    <t>Hill et al 2011 (Freshwater Bio)</t>
  </si>
  <si>
    <t>Napolitano et al 1996 (Archiv fur Hydrobiologie)</t>
  </si>
  <si>
    <t>in graph</t>
  </si>
  <si>
    <t>Napolitano et al 1994 (JNABS)</t>
  </si>
  <si>
    <t>Isochrysis galbana</t>
  </si>
  <si>
    <t>Prymnesiophyceae</t>
  </si>
  <si>
    <t>Pseudomonas</t>
  </si>
  <si>
    <t>Pseudomonadaceae</t>
  </si>
  <si>
    <t>Chlorella minutissma</t>
  </si>
  <si>
    <t>Trebouxiophyceae</t>
  </si>
  <si>
    <t>Lab Chlorella homosphaera</t>
  </si>
  <si>
    <t>Tribonema</t>
  </si>
  <si>
    <t>Xanthophyceae</t>
  </si>
  <si>
    <t>Marine</t>
  </si>
  <si>
    <t>Chaetoceros calcitrans</t>
  </si>
  <si>
    <t>Volkman et al 1989 (J Exp Mar Biol Ecol)</t>
  </si>
  <si>
    <t>Chaetoceros gracilis</t>
  </si>
  <si>
    <t>Phaeodactylum tricornutum</t>
  </si>
  <si>
    <t>Skeletonema costatum</t>
  </si>
  <si>
    <t>Thalassiosira oceanica</t>
  </si>
  <si>
    <t>Chen et al. 2011 (L&amp;O)</t>
  </si>
  <si>
    <t>Thalassiosira pseudonana</t>
  </si>
  <si>
    <t>Thalassiosira weissflogii</t>
  </si>
  <si>
    <t>Arendt et al 2005 (Marine Biology)</t>
  </si>
  <si>
    <t>Chen et al. 2012 (MEPS)</t>
  </si>
  <si>
    <t>Tetraselmis suecica</t>
  </si>
  <si>
    <t>Chlorodendraceae</t>
  </si>
  <si>
    <t>Dunaliella sp</t>
  </si>
  <si>
    <t>Dunaliella tertiolecta</t>
  </si>
  <si>
    <t>Chu et al. 2008 (MEPS)</t>
  </si>
  <si>
    <t>Nannochloris atomus</t>
  </si>
  <si>
    <t>Enteromorpha intestinalis</t>
  </si>
  <si>
    <t>Fleurence et al. 1994 (J App Phyc)</t>
  </si>
  <si>
    <t>Psuedokirchneriella subcapitata</t>
  </si>
  <si>
    <t>Tetraselmis</t>
  </si>
  <si>
    <t>Ulva rotundata</t>
  </si>
  <si>
    <t>Phaeocystis globosa</t>
  </si>
  <si>
    <t>Coccolithophyceae</t>
  </si>
  <si>
    <t>Rhodomonas baltica</t>
  </si>
  <si>
    <t>Rhodomonas salina</t>
  </si>
  <si>
    <t>Rhodomonas sp</t>
  </si>
  <si>
    <t>Chroomonas salina</t>
  </si>
  <si>
    <t>Chroococcus</t>
  </si>
  <si>
    <t>Cyanophyceae</t>
  </si>
  <si>
    <t>Synechoccocus</t>
  </si>
  <si>
    <t>Prorocentrum dentalum</t>
  </si>
  <si>
    <t>Nannochloropsis oceanica</t>
  </si>
  <si>
    <t>Eustigmatophyceae</t>
  </si>
  <si>
    <t>Fucus vesiculosus</t>
  </si>
  <si>
    <t>Pheophyceae</t>
  </si>
  <si>
    <t>Halidrys siliquosa</t>
  </si>
  <si>
    <t>Laminaria digitata</t>
  </si>
  <si>
    <t>Laminaria saccharina</t>
  </si>
  <si>
    <t>Undaria pinnatifida</t>
  </si>
  <si>
    <t>Prymneisiophyceae</t>
  </si>
  <si>
    <t>Pavlova</t>
  </si>
  <si>
    <t>Isochrysis</t>
  </si>
  <si>
    <t>Isochrysis sp.</t>
  </si>
  <si>
    <t>Pavlova lutheri</t>
  </si>
  <si>
    <t>Chondrus crispus</t>
  </si>
  <si>
    <t>Rhodophyceae</t>
  </si>
  <si>
    <t>Gracilaria verrucosa</t>
  </si>
  <si>
    <t>Palmaria palmata</t>
  </si>
  <si>
    <t>Porphyra umbilicalis</t>
  </si>
  <si>
    <t>Porphyridium cruentum</t>
  </si>
  <si>
    <t>Strombidium sulcatum</t>
  </si>
  <si>
    <t>Spirotrichea</t>
  </si>
  <si>
    <t>Consumer</t>
  </si>
  <si>
    <t>Temora longicornis</t>
  </si>
  <si>
    <t>Evjemo et al. 2008</t>
  </si>
  <si>
    <t>Copepod</t>
  </si>
  <si>
    <t>Calanus hyperboreus</t>
  </si>
  <si>
    <t>McMeans et al. 2012</t>
  </si>
  <si>
    <t>Copepoda</t>
  </si>
  <si>
    <t>van der Meeren et al. 2008</t>
  </si>
  <si>
    <t>Idotea baltica</t>
  </si>
  <si>
    <t>Prato et al. 2012</t>
  </si>
  <si>
    <t>Isopod</t>
  </si>
  <si>
    <t>Sphaeroma serratum</t>
  </si>
  <si>
    <t>Nephtys hombergii</t>
  </si>
  <si>
    <t>Braeckman et al. 2012</t>
  </si>
  <si>
    <t>Polychaeta</t>
  </si>
  <si>
    <t>Lanice conchilega</t>
  </si>
  <si>
    <t>Chaetopterus cautus</t>
  </si>
  <si>
    <t>Kharlamenko et al. 2008</t>
  </si>
  <si>
    <t>Caprella spp.</t>
  </si>
  <si>
    <t>Woods 2009</t>
  </si>
  <si>
    <t>Amphipod</t>
  </si>
  <si>
    <t>Caprella mutica</t>
  </si>
  <si>
    <t>Euphausia superba</t>
  </si>
  <si>
    <t>Phleger et al. 2002</t>
  </si>
  <si>
    <t>Euphausiids</t>
  </si>
  <si>
    <t>Euphausia tricantha</t>
  </si>
  <si>
    <t>Euphausia frigida</t>
  </si>
  <si>
    <t>Thysanoessa macrura</t>
  </si>
  <si>
    <t>Meganyctiphanes norvegica</t>
  </si>
  <si>
    <t>Virtue et al. 2000</t>
  </si>
  <si>
    <t>Mysidacea</t>
  </si>
  <si>
    <t>Mayzaud et al. 1999</t>
  </si>
  <si>
    <t>Caprella dilatata</t>
  </si>
  <si>
    <t>Baeza-Rojano et al. 2014</t>
  </si>
  <si>
    <t>Caprella equilibra</t>
  </si>
  <si>
    <t>Caprella penantis</t>
  </si>
  <si>
    <t>Caprella grandimana</t>
  </si>
  <si>
    <t>Elasmopus rapax</t>
  </si>
  <si>
    <t>Hyale perieri</t>
  </si>
  <si>
    <t>Jassa sp</t>
  </si>
  <si>
    <t>Echinogammarus sp.</t>
  </si>
  <si>
    <t>Neomysis intermedia</t>
  </si>
  <si>
    <t>Ando &amp; Nozaki 2007</t>
  </si>
  <si>
    <t>Atylus carinatus</t>
  </si>
  <si>
    <t>Mohan et al. 2016</t>
  </si>
  <si>
    <t>Gammarus spp.</t>
  </si>
  <si>
    <t>Monoculodes sp.</t>
  </si>
  <si>
    <t>Monoporeia affinis</t>
  </si>
  <si>
    <t>Onisimus glacialis</t>
  </si>
  <si>
    <t>Pontoporeia femorata</t>
  </si>
  <si>
    <t>Diastylis goodsiri</t>
  </si>
  <si>
    <t>Cumacea</t>
  </si>
  <si>
    <t>Saduria entomon</t>
  </si>
  <si>
    <t>Mysis relicta</t>
  </si>
  <si>
    <t>Eurytemora velox</t>
  </si>
  <si>
    <t>Shields et al. 1999</t>
  </si>
  <si>
    <t>Euphausia pacifica</t>
  </si>
  <si>
    <t>Saito et al. 2002</t>
  </si>
  <si>
    <t>Dendrocoelopsis</t>
  </si>
  <si>
    <t>Makhutova et al. 2011</t>
  </si>
  <si>
    <t>Triclad</t>
  </si>
  <si>
    <t>Dreissena polymorpha</t>
  </si>
  <si>
    <t>Zebra Mussel</t>
  </si>
  <si>
    <t>Dreissena bugensis</t>
  </si>
  <si>
    <t>Quagga Mussel</t>
  </si>
  <si>
    <t>Lumbriculus variegatus</t>
  </si>
  <si>
    <t>Blackworm</t>
  </si>
  <si>
    <t>Tubifex tubifex</t>
  </si>
  <si>
    <t>Sludge worm</t>
  </si>
  <si>
    <t>Prodiamesa olivacea</t>
  </si>
  <si>
    <t>Chironomid fly</t>
  </si>
  <si>
    <t>Chironomus plumosus</t>
  </si>
  <si>
    <t>Chironomid</t>
  </si>
  <si>
    <t>Apatania crymophila</t>
  </si>
  <si>
    <t>Caddisfly</t>
  </si>
  <si>
    <t>Ephemerella setigera</t>
  </si>
  <si>
    <t>Mayfly</t>
  </si>
  <si>
    <t>Eulimnogammarus viridus</t>
  </si>
  <si>
    <t>Daphnia</t>
  </si>
  <si>
    <t>Mariash et al. 2016</t>
  </si>
  <si>
    <t>Diaptomus ashlandi</t>
  </si>
  <si>
    <t>Ravet et al. 2016</t>
  </si>
  <si>
    <t>Ravet et al. 2010</t>
  </si>
  <si>
    <t>Diacyclops thomasi</t>
  </si>
  <si>
    <t>Epischura nevadensis</t>
  </si>
  <si>
    <t>Arctodiaptomus</t>
  </si>
  <si>
    <t>Makhutovaetal et al. 2014</t>
  </si>
  <si>
    <t>Makhutova et al. 2014</t>
  </si>
  <si>
    <t>Eudiaptomus graciloides</t>
  </si>
  <si>
    <t>Cyclops</t>
  </si>
  <si>
    <t>Diaphanosoma brachyrum</t>
  </si>
  <si>
    <t>Cladoceran</t>
  </si>
  <si>
    <t>Holopedium gibberum</t>
  </si>
  <si>
    <t>Holopedium</t>
  </si>
  <si>
    <t>Sushchik et al. 2003</t>
  </si>
  <si>
    <t>Gammarus</t>
  </si>
  <si>
    <t>Ephemeroptera</t>
  </si>
  <si>
    <t>Tricoptera</t>
  </si>
  <si>
    <t>Caddislfy</t>
  </si>
  <si>
    <t>Chironomidae</t>
  </si>
  <si>
    <t>Makhutova et al. 2016</t>
  </si>
  <si>
    <t>Diptera</t>
  </si>
  <si>
    <t>Plecoptera</t>
  </si>
  <si>
    <t>Stoneflies</t>
  </si>
  <si>
    <t>Odonata</t>
  </si>
  <si>
    <t>Mollusca</t>
  </si>
  <si>
    <t>Mussels</t>
  </si>
  <si>
    <t>Hirudinea</t>
  </si>
  <si>
    <t>Leech</t>
  </si>
  <si>
    <t>Oligocheata</t>
  </si>
  <si>
    <t>Turbellaria</t>
  </si>
  <si>
    <t>Bryozoa</t>
  </si>
  <si>
    <t>Megaloptera</t>
  </si>
  <si>
    <t>Coleoptera</t>
  </si>
  <si>
    <t>Gladyshev et al. 2016</t>
  </si>
  <si>
    <t>Amphipoda</t>
  </si>
  <si>
    <t>Limoniidae</t>
  </si>
  <si>
    <t>Gastropoda</t>
  </si>
  <si>
    <t>Hessen and Lau 2016</t>
  </si>
  <si>
    <t>Persson and Vrede 2006</t>
  </si>
  <si>
    <t>Bosmina</t>
  </si>
  <si>
    <t>Bythotrephes longimanus</t>
  </si>
  <si>
    <t>Heterocope</t>
  </si>
  <si>
    <t>Gammarus fossarum</t>
  </si>
  <si>
    <t>Kolanowski et al. 2007</t>
  </si>
  <si>
    <t>Gammarus pulex</t>
  </si>
  <si>
    <t>Gammarus roeseli</t>
  </si>
  <si>
    <t>Dikerogammarus haemobaphes</t>
  </si>
  <si>
    <t>Pontogammarus robustoides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</si>
</sst>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b/>
      <sz val="12.0"/>
      <color rgb="FF000000"/>
      <name val="Calibri"/>
    </font>
    <font/>
    <font>
      <sz val="12.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2" fontId="3" numFmtId="0" xfId="0" applyAlignment="1" applyFill="1" applyFont="1">
      <alignment vertical="bottom"/>
    </xf>
    <xf borderId="0" fillId="0" fontId="4" numFmtId="2" xfId="0" applyAlignment="1" applyFont="1" applyNumberFormat="1">
      <alignment horizontal="right" readingOrder="0" vertical="bottom"/>
    </xf>
    <xf borderId="0" fillId="0" fontId="3" numFmtId="2" xfId="0" applyAlignment="1" applyFont="1" applyNumberFormat="1">
      <alignment horizontal="right" readingOrder="0"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0" fontId="4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3" numFmtId="2" xfId="0" applyAlignment="1" applyFont="1" applyNumberFormat="1">
      <alignment readingOrder="0" vertical="bottom"/>
    </xf>
    <xf borderId="0" fillId="0" fontId="3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5.0"/>
    <col customWidth="1" min="4" max="4" width="29.86"/>
    <col customWidth="1" min="5" max="5" width="18.57"/>
    <col customWidth="1" min="6" max="6" width="30.14"/>
    <col customWidth="1" min="7" max="7" width="17.0"/>
    <col customWidth="1" min="8" max="22" width="15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>
      <c r="A2" s="5" t="s">
        <v>22</v>
      </c>
      <c r="B2" s="6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3" t="s">
        <v>28</v>
      </c>
      <c r="H2" s="7"/>
      <c r="I2" s="7">
        <f>11.43/609.67</f>
        <v>0.0187478472</v>
      </c>
      <c r="J2" s="7">
        <f>0.28/609.67</f>
        <v>0.0004592648482</v>
      </c>
      <c r="K2" s="7"/>
      <c r="L2" s="7"/>
      <c r="M2" s="7">
        <f>40.76/609.67</f>
        <v>0.06685584004</v>
      </c>
      <c r="N2" s="7"/>
      <c r="O2" s="7"/>
      <c r="P2" s="7"/>
      <c r="Q2" s="7"/>
      <c r="R2" s="7"/>
      <c r="S2" s="7"/>
      <c r="T2" s="7"/>
      <c r="U2" s="7"/>
      <c r="V2" s="7"/>
    </row>
    <row r="3" ht="20.25" customHeight="1">
      <c r="A3" s="5" t="s">
        <v>22</v>
      </c>
      <c r="B3" s="6" t="s">
        <v>23</v>
      </c>
      <c r="C3" s="5" t="s">
        <v>24</v>
      </c>
      <c r="D3" s="5" t="s">
        <v>25</v>
      </c>
      <c r="E3" s="5" t="s">
        <v>26</v>
      </c>
      <c r="F3" s="5" t="s">
        <v>27</v>
      </c>
      <c r="G3" s="3" t="s">
        <v>28</v>
      </c>
      <c r="H3" s="7"/>
      <c r="I3" s="7">
        <f>12.44/712.35</f>
        <v>0.01746332561</v>
      </c>
      <c r="J3" s="7">
        <v>0.0</v>
      </c>
      <c r="K3" s="7"/>
      <c r="L3" s="7"/>
      <c r="M3" s="7">
        <f>16.67/712.35</f>
        <v>0.02340141784</v>
      </c>
      <c r="N3" s="7"/>
      <c r="O3" s="7"/>
      <c r="P3" s="7"/>
      <c r="Q3" s="7"/>
      <c r="R3" s="7"/>
      <c r="S3" s="7"/>
      <c r="T3" s="7"/>
      <c r="U3" s="7"/>
      <c r="V3" s="7"/>
    </row>
    <row r="4">
      <c r="A4" s="5" t="s">
        <v>22</v>
      </c>
      <c r="B4" s="6" t="s">
        <v>23</v>
      </c>
      <c r="C4" s="5" t="s">
        <v>24</v>
      </c>
      <c r="D4" s="5" t="s">
        <v>29</v>
      </c>
      <c r="E4" s="8" t="s">
        <v>30</v>
      </c>
      <c r="F4" s="5" t="s">
        <v>31</v>
      </c>
      <c r="G4" s="3" t="s">
        <v>28</v>
      </c>
      <c r="H4" s="7"/>
      <c r="I4" s="7">
        <v>0.02</v>
      </c>
      <c r="J4" s="7">
        <v>12.19</v>
      </c>
      <c r="K4" s="7"/>
      <c r="L4" s="7"/>
      <c r="M4" s="7">
        <v>2.31</v>
      </c>
      <c r="N4" s="7"/>
      <c r="O4" s="7"/>
      <c r="P4" s="7"/>
      <c r="Q4" s="7"/>
      <c r="R4" s="7"/>
      <c r="S4" s="7"/>
      <c r="T4" s="7"/>
      <c r="U4" s="7"/>
      <c r="V4" s="7"/>
    </row>
    <row r="5">
      <c r="A5" s="5" t="s">
        <v>22</v>
      </c>
      <c r="B5" s="6" t="s">
        <v>23</v>
      </c>
      <c r="C5" s="5" t="s">
        <v>24</v>
      </c>
      <c r="D5" s="5" t="s">
        <v>29</v>
      </c>
      <c r="E5" s="8" t="s">
        <v>30</v>
      </c>
      <c r="F5" s="5" t="s">
        <v>31</v>
      </c>
      <c r="G5" s="3" t="s">
        <v>28</v>
      </c>
      <c r="H5" s="7"/>
      <c r="I5" s="7">
        <v>0.22</v>
      </c>
      <c r="J5" s="7">
        <v>25.81</v>
      </c>
      <c r="K5" s="7"/>
      <c r="L5" s="7"/>
      <c r="M5" s="7">
        <v>2.71</v>
      </c>
      <c r="N5" s="7"/>
      <c r="O5" s="7"/>
      <c r="P5" s="7"/>
      <c r="Q5" s="7"/>
      <c r="R5" s="7"/>
      <c r="S5" s="7"/>
      <c r="T5" s="7"/>
      <c r="U5" s="7"/>
      <c r="V5" s="7"/>
    </row>
    <row r="6">
      <c r="A6" s="5" t="s">
        <v>22</v>
      </c>
      <c r="B6" s="6" t="s">
        <v>23</v>
      </c>
      <c r="C6" s="5" t="s">
        <v>24</v>
      </c>
      <c r="D6" s="5" t="s">
        <v>32</v>
      </c>
      <c r="E6" s="8" t="s">
        <v>30</v>
      </c>
      <c r="F6" s="5" t="s">
        <v>33</v>
      </c>
      <c r="G6" s="3" t="s">
        <v>28</v>
      </c>
      <c r="H6" s="7"/>
      <c r="I6" s="7">
        <v>0.0</v>
      </c>
      <c r="J6" s="7">
        <v>21.325</v>
      </c>
      <c r="K6" s="7"/>
      <c r="L6" s="7"/>
      <c r="M6" s="7">
        <v>0.0</v>
      </c>
      <c r="N6" s="7"/>
      <c r="O6" s="7"/>
      <c r="P6" s="7"/>
      <c r="Q6" s="7"/>
      <c r="R6" s="7"/>
      <c r="S6" s="7"/>
      <c r="T6" s="7"/>
      <c r="U6" s="7"/>
      <c r="V6" s="7"/>
    </row>
    <row r="7">
      <c r="A7" s="5" t="s">
        <v>22</v>
      </c>
      <c r="B7" s="6" t="s">
        <v>23</v>
      </c>
      <c r="C7" s="5" t="s">
        <v>24</v>
      </c>
      <c r="D7" s="5" t="s">
        <v>34</v>
      </c>
      <c r="E7" s="8" t="s">
        <v>30</v>
      </c>
      <c r="F7" s="5" t="s">
        <v>33</v>
      </c>
      <c r="G7" s="3" t="s">
        <v>28</v>
      </c>
      <c r="H7" s="7"/>
      <c r="I7" s="7">
        <v>0.0</v>
      </c>
      <c r="J7" s="7">
        <v>14.892</v>
      </c>
      <c r="K7" s="7"/>
      <c r="L7" s="7"/>
      <c r="M7" s="7">
        <v>0.068</v>
      </c>
      <c r="N7" s="7"/>
      <c r="O7" s="7"/>
      <c r="P7" s="7"/>
      <c r="Q7" s="7"/>
      <c r="R7" s="7"/>
      <c r="S7" s="7"/>
      <c r="T7" s="7"/>
      <c r="U7" s="7"/>
      <c r="V7" s="7"/>
    </row>
    <row r="8">
      <c r="A8" s="5" t="s">
        <v>22</v>
      </c>
      <c r="B8" s="6" t="s">
        <v>23</v>
      </c>
      <c r="C8" s="5" t="s">
        <v>24</v>
      </c>
      <c r="D8" s="5" t="s">
        <v>35</v>
      </c>
      <c r="E8" s="8" t="s">
        <v>30</v>
      </c>
      <c r="F8" s="5" t="s">
        <v>33</v>
      </c>
      <c r="G8" s="3" t="s">
        <v>28</v>
      </c>
      <c r="H8" s="7"/>
      <c r="I8" s="7">
        <v>0.0</v>
      </c>
      <c r="J8" s="9">
        <v>20.08666666666667</v>
      </c>
      <c r="K8" s="7"/>
      <c r="L8" s="7"/>
      <c r="M8" s="7">
        <v>0.0</v>
      </c>
      <c r="N8" s="7"/>
      <c r="O8" s="7"/>
      <c r="P8" s="7"/>
      <c r="Q8" s="7"/>
      <c r="R8" s="7"/>
      <c r="S8" s="7"/>
      <c r="T8" s="7"/>
      <c r="U8" s="7"/>
      <c r="V8" s="7"/>
    </row>
    <row r="9">
      <c r="A9" s="5" t="s">
        <v>22</v>
      </c>
      <c r="B9" s="6" t="s">
        <v>23</v>
      </c>
      <c r="C9" s="5" t="s">
        <v>24</v>
      </c>
      <c r="D9" s="5" t="s">
        <v>36</v>
      </c>
      <c r="E9" s="8" t="s">
        <v>30</v>
      </c>
      <c r="F9" s="5" t="s">
        <v>37</v>
      </c>
      <c r="G9" s="3" t="s">
        <v>28</v>
      </c>
      <c r="H9" s="7"/>
      <c r="I9" s="7">
        <v>0.0</v>
      </c>
      <c r="J9" s="7">
        <f>54.51/226.37</f>
        <v>0.2408004594</v>
      </c>
      <c r="K9" s="7"/>
      <c r="L9" s="7"/>
      <c r="M9" s="7">
        <v>0.0</v>
      </c>
      <c r="N9" s="7"/>
      <c r="O9" s="7"/>
      <c r="P9" s="7"/>
      <c r="Q9" s="7"/>
      <c r="R9" s="7"/>
      <c r="S9" s="7"/>
      <c r="T9" s="7"/>
      <c r="U9" s="7"/>
      <c r="V9" s="7"/>
    </row>
    <row r="10">
      <c r="A10" s="5" t="s">
        <v>22</v>
      </c>
      <c r="B10" s="6" t="s">
        <v>23</v>
      </c>
      <c r="C10" s="5" t="s">
        <v>24</v>
      </c>
      <c r="D10" s="5" t="s">
        <v>38</v>
      </c>
      <c r="E10" s="8" t="s">
        <v>30</v>
      </c>
      <c r="F10" s="5" t="s">
        <v>37</v>
      </c>
      <c r="G10" s="3" t="s">
        <v>28</v>
      </c>
      <c r="H10" s="7"/>
      <c r="I10" s="7">
        <v>0.0</v>
      </c>
      <c r="J10" s="7">
        <f>0.92/292.41</f>
        <v>0.003146267228</v>
      </c>
      <c r="K10" s="7"/>
      <c r="L10" s="7"/>
      <c r="M10" s="7">
        <f>87.68/292.41</f>
        <v>0.2998529462</v>
      </c>
      <c r="N10" s="7"/>
      <c r="O10" s="7"/>
      <c r="P10" s="7"/>
      <c r="Q10" s="7"/>
      <c r="R10" s="7"/>
      <c r="S10" s="7"/>
      <c r="T10" s="7"/>
      <c r="U10" s="7"/>
      <c r="V10" s="7"/>
    </row>
    <row r="11">
      <c r="A11" s="5" t="s">
        <v>22</v>
      </c>
      <c r="B11" s="6" t="s">
        <v>23</v>
      </c>
      <c r="C11" s="5" t="s">
        <v>24</v>
      </c>
      <c r="D11" s="5" t="s">
        <v>39</v>
      </c>
      <c r="E11" s="8" t="s">
        <v>30</v>
      </c>
      <c r="F11" s="5" t="s">
        <v>27</v>
      </c>
      <c r="G11" s="3" t="s">
        <v>28</v>
      </c>
      <c r="H11" s="7"/>
      <c r="I11" s="7">
        <v>0.0</v>
      </c>
      <c r="J11" s="7">
        <f>36.6/360.44</f>
        <v>0.1015425591</v>
      </c>
      <c r="K11" s="7"/>
      <c r="L11" s="7"/>
      <c r="M11" s="7">
        <f>0</f>
        <v>0</v>
      </c>
      <c r="N11" s="7"/>
      <c r="O11" s="7"/>
      <c r="P11" s="7"/>
      <c r="Q11" s="7"/>
      <c r="R11" s="7"/>
      <c r="S11" s="7"/>
      <c r="T11" s="7"/>
      <c r="U11" s="7"/>
      <c r="V11" s="7"/>
    </row>
    <row r="12">
      <c r="A12" s="5" t="s">
        <v>22</v>
      </c>
      <c r="B12" s="6" t="s">
        <v>23</v>
      </c>
      <c r="C12" s="5" t="s">
        <v>24</v>
      </c>
      <c r="D12" s="5" t="s">
        <v>39</v>
      </c>
      <c r="E12" s="8" t="s">
        <v>30</v>
      </c>
      <c r="F12" s="5" t="s">
        <v>27</v>
      </c>
      <c r="G12" s="3" t="s">
        <v>28</v>
      </c>
      <c r="H12" s="7"/>
      <c r="I12" s="7">
        <f>2.11/88.26</f>
        <v>0.02390663947</v>
      </c>
      <c r="J12" s="7">
        <f>28.5/88.26</f>
        <v>0.3229095853</v>
      </c>
      <c r="K12" s="7"/>
      <c r="L12" s="7"/>
      <c r="M12" s="7">
        <f>0.84/88.26</f>
        <v>0.009517335146</v>
      </c>
      <c r="N12" s="7"/>
      <c r="O12" s="7"/>
      <c r="P12" s="7"/>
      <c r="Q12" s="7"/>
      <c r="R12" s="7"/>
      <c r="S12" s="7"/>
      <c r="T12" s="7"/>
      <c r="U12" s="7"/>
      <c r="V12" s="7"/>
    </row>
    <row r="13">
      <c r="A13" s="8" t="s">
        <v>22</v>
      </c>
      <c r="B13" s="6" t="s">
        <v>23</v>
      </c>
      <c r="C13" s="8" t="s">
        <v>24</v>
      </c>
      <c r="D13" s="8" t="s">
        <v>29</v>
      </c>
      <c r="E13" s="8" t="s">
        <v>30</v>
      </c>
      <c r="F13" s="8" t="s">
        <v>31</v>
      </c>
      <c r="G13" s="3" t="s">
        <v>28</v>
      </c>
      <c r="H13" s="10"/>
      <c r="I13" s="10">
        <f>0.02/SUM(45.8,21.3,32.1)</f>
        <v>0.0002016129032</v>
      </c>
      <c r="J13" s="10">
        <f>12.19/SUM(45.8,21.3,32.1)</f>
        <v>0.1228830645</v>
      </c>
      <c r="K13" s="10"/>
      <c r="L13" s="10"/>
      <c r="M13" s="10">
        <f>2.31/SUM(45.8,21.3,32.1)</f>
        <v>0.02328629032</v>
      </c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8" t="s">
        <v>22</v>
      </c>
      <c r="B14" s="6" t="s">
        <v>23</v>
      </c>
      <c r="C14" s="8" t="s">
        <v>24</v>
      </c>
      <c r="D14" s="8" t="s">
        <v>29</v>
      </c>
      <c r="E14" s="8" t="s">
        <v>30</v>
      </c>
      <c r="F14" s="8" t="s">
        <v>31</v>
      </c>
      <c r="G14" s="3" t="s">
        <v>28</v>
      </c>
      <c r="H14" s="10"/>
      <c r="I14" s="10">
        <f>0.22/SUM(32.9,30,46.8)</f>
        <v>0.002005469462</v>
      </c>
      <c r="J14" s="10">
        <f>25.81/SUM(32.9,30,46.8)</f>
        <v>0.235278031</v>
      </c>
      <c r="K14" s="10"/>
      <c r="L14" s="10"/>
      <c r="M14" s="10">
        <f>2.71/SUM(32.9,30,46.8)</f>
        <v>0.02470373747</v>
      </c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5" t="s">
        <v>22</v>
      </c>
      <c r="B15" s="6" t="s">
        <v>23</v>
      </c>
      <c r="C15" s="5" t="s">
        <v>24</v>
      </c>
      <c r="D15" s="5" t="s">
        <v>40</v>
      </c>
      <c r="E15" s="5" t="s">
        <v>41</v>
      </c>
      <c r="F15" s="5" t="s">
        <v>33</v>
      </c>
      <c r="G15" s="3" t="s">
        <v>28</v>
      </c>
      <c r="H15" s="7"/>
      <c r="I15" s="7">
        <v>2.238</v>
      </c>
      <c r="J15" s="7">
        <v>2.306</v>
      </c>
      <c r="K15" s="7"/>
      <c r="L15" s="7"/>
      <c r="M15" s="7">
        <v>0.0</v>
      </c>
      <c r="N15" s="7"/>
      <c r="O15" s="7"/>
      <c r="P15" s="7"/>
      <c r="Q15" s="7"/>
      <c r="R15" s="7"/>
      <c r="S15" s="7"/>
      <c r="T15" s="7"/>
      <c r="U15" s="7"/>
      <c r="V15" s="7"/>
    </row>
    <row r="16">
      <c r="A16" s="5" t="s">
        <v>22</v>
      </c>
      <c r="B16" s="6" t="s">
        <v>23</v>
      </c>
      <c r="C16" s="5" t="s">
        <v>24</v>
      </c>
      <c r="D16" s="5" t="s">
        <v>42</v>
      </c>
      <c r="E16" s="5" t="s">
        <v>43</v>
      </c>
      <c r="F16" s="5" t="s">
        <v>33</v>
      </c>
      <c r="G16" s="3" t="s">
        <v>28</v>
      </c>
      <c r="H16" s="7"/>
      <c r="I16" s="7">
        <v>2.287</v>
      </c>
      <c r="J16" s="7">
        <v>4.478</v>
      </c>
      <c r="K16" s="7"/>
      <c r="L16" s="7"/>
      <c r="M16" s="7">
        <v>6.465</v>
      </c>
      <c r="N16" s="7"/>
      <c r="O16" s="7"/>
      <c r="P16" s="7"/>
      <c r="Q16" s="7"/>
      <c r="R16" s="7"/>
      <c r="S16" s="7"/>
      <c r="T16" s="7"/>
      <c r="U16" s="7"/>
      <c r="V16" s="7"/>
    </row>
    <row r="17">
      <c r="A17" s="5" t="s">
        <v>22</v>
      </c>
      <c r="B17" s="6" t="s">
        <v>23</v>
      </c>
      <c r="C17" s="5" t="s">
        <v>24</v>
      </c>
      <c r="D17" s="5" t="s">
        <v>44</v>
      </c>
      <c r="E17" s="5" t="s">
        <v>45</v>
      </c>
      <c r="F17" s="5" t="s">
        <v>33</v>
      </c>
      <c r="G17" s="3" t="s">
        <v>28</v>
      </c>
      <c r="H17" s="7"/>
      <c r="I17" s="7">
        <v>3.802</v>
      </c>
      <c r="J17" s="7">
        <v>18.332</v>
      </c>
      <c r="K17" s="7"/>
      <c r="L17" s="7"/>
      <c r="M17" s="7">
        <v>13.177</v>
      </c>
      <c r="N17" s="7"/>
      <c r="O17" s="7"/>
      <c r="P17" s="7"/>
      <c r="Q17" s="7"/>
      <c r="R17" s="7"/>
      <c r="S17" s="7"/>
      <c r="T17" s="7"/>
      <c r="U17" s="7"/>
      <c r="V17" s="7"/>
    </row>
    <row r="18">
      <c r="A18" s="5" t="s">
        <v>22</v>
      </c>
      <c r="B18" s="6" t="s">
        <v>23</v>
      </c>
      <c r="C18" s="5" t="s">
        <v>24</v>
      </c>
      <c r="D18" s="5" t="s">
        <v>46</v>
      </c>
      <c r="E18" s="5" t="s">
        <v>45</v>
      </c>
      <c r="F18" s="5" t="s">
        <v>47</v>
      </c>
      <c r="G18" s="3" t="s">
        <v>28</v>
      </c>
      <c r="H18" s="7"/>
      <c r="I18" s="7">
        <v>0.0</v>
      </c>
      <c r="J18" s="9">
        <f>8.1/SUM(4.1,5.4,16.8)</f>
        <v>0.3079847909</v>
      </c>
      <c r="K18" s="7"/>
      <c r="L18" s="7"/>
      <c r="M18" s="10">
        <f>1.1/SUM(4.1,5.4,16.8)</f>
        <v>0.04182509506</v>
      </c>
      <c r="N18" s="7"/>
      <c r="O18" s="7"/>
      <c r="P18" s="7"/>
      <c r="Q18" s="7"/>
      <c r="R18" s="7"/>
      <c r="S18" s="7"/>
      <c r="T18" s="7"/>
      <c r="U18" s="7"/>
      <c r="V18" s="7"/>
    </row>
    <row r="19">
      <c r="A19" s="5" t="s">
        <v>22</v>
      </c>
      <c r="B19" s="6" t="s">
        <v>23</v>
      </c>
      <c r="C19" s="5" t="s">
        <v>24</v>
      </c>
      <c r="D19" s="5" t="s">
        <v>48</v>
      </c>
      <c r="E19" s="5" t="s">
        <v>45</v>
      </c>
      <c r="F19" s="5" t="s">
        <v>49</v>
      </c>
      <c r="G19" s="3" t="s">
        <v>28</v>
      </c>
      <c r="H19" s="7"/>
      <c r="I19" s="7">
        <f>3/371.8</f>
        <v>0.008068854223</v>
      </c>
      <c r="J19" s="7">
        <f>97.5/371.8</f>
        <v>0.2622377622</v>
      </c>
      <c r="K19" s="7"/>
      <c r="L19" s="7"/>
      <c r="M19" s="7">
        <f>44.5/371.8</f>
        <v>0.1196880043</v>
      </c>
      <c r="N19" s="7"/>
      <c r="O19" s="7"/>
      <c r="P19" s="7"/>
      <c r="Q19" s="7"/>
      <c r="R19" s="7"/>
      <c r="S19" s="7"/>
      <c r="T19" s="7"/>
      <c r="U19" s="7"/>
      <c r="V19" s="7"/>
    </row>
    <row r="20">
      <c r="A20" s="5" t="s">
        <v>22</v>
      </c>
      <c r="B20" s="6" t="s">
        <v>23</v>
      </c>
      <c r="C20" s="5" t="s">
        <v>24</v>
      </c>
      <c r="D20" s="5" t="s">
        <v>50</v>
      </c>
      <c r="E20" s="8" t="s">
        <v>51</v>
      </c>
      <c r="F20" s="5" t="s">
        <v>33</v>
      </c>
      <c r="G20" s="3" t="s">
        <v>28</v>
      </c>
      <c r="H20" s="7"/>
      <c r="I20" s="7">
        <v>0.0</v>
      </c>
      <c r="J20" s="9">
        <v>0.9956666666666667</v>
      </c>
      <c r="K20" s="7"/>
      <c r="L20" s="7"/>
      <c r="M20" s="10">
        <f>AVERAGE(0,0,0.099)</f>
        <v>0.033</v>
      </c>
      <c r="N20" s="7"/>
      <c r="O20" s="7"/>
      <c r="P20" s="7"/>
      <c r="Q20" s="7"/>
      <c r="R20" s="7"/>
      <c r="S20" s="7"/>
      <c r="T20" s="7"/>
      <c r="U20" s="7"/>
      <c r="V20" s="7"/>
    </row>
    <row r="21">
      <c r="A21" s="5" t="s">
        <v>22</v>
      </c>
      <c r="B21" s="6" t="s">
        <v>23</v>
      </c>
      <c r="C21" s="5" t="s">
        <v>24</v>
      </c>
      <c r="D21" s="5" t="s">
        <v>52</v>
      </c>
      <c r="E21" s="8" t="s">
        <v>51</v>
      </c>
      <c r="F21" s="5" t="s">
        <v>33</v>
      </c>
      <c r="G21" s="3" t="s">
        <v>28</v>
      </c>
      <c r="H21" s="7"/>
      <c r="I21" s="7">
        <v>0.0</v>
      </c>
      <c r="J21" s="9">
        <v>0.913</v>
      </c>
      <c r="K21" s="7"/>
      <c r="L21" s="7"/>
      <c r="M21" s="10">
        <v>0.076</v>
      </c>
      <c r="N21" s="7"/>
      <c r="O21" s="7"/>
      <c r="P21" s="7"/>
      <c r="Q21" s="7"/>
      <c r="R21" s="7"/>
      <c r="S21" s="7"/>
      <c r="T21" s="7"/>
      <c r="U21" s="7"/>
      <c r="V21" s="7"/>
    </row>
    <row r="22">
      <c r="A22" s="5" t="s">
        <v>22</v>
      </c>
      <c r="B22" s="6" t="s">
        <v>23</v>
      </c>
      <c r="C22" s="5" t="s">
        <v>24</v>
      </c>
      <c r="D22" s="5" t="s">
        <v>53</v>
      </c>
      <c r="E22" s="8" t="s">
        <v>51</v>
      </c>
      <c r="F22" s="5" t="s">
        <v>33</v>
      </c>
      <c r="G22" s="3" t="s">
        <v>28</v>
      </c>
      <c r="H22" s="7"/>
      <c r="I22" s="7">
        <v>0.0</v>
      </c>
      <c r="J22" s="9">
        <v>6.735</v>
      </c>
      <c r="K22" s="7"/>
      <c r="L22" s="7"/>
      <c r="M22" s="10">
        <v>0.0</v>
      </c>
      <c r="N22" s="7"/>
      <c r="O22" s="7"/>
      <c r="P22" s="7"/>
      <c r="Q22" s="7"/>
      <c r="R22" s="7"/>
      <c r="S22" s="7"/>
      <c r="T22" s="7"/>
      <c r="U22" s="7"/>
      <c r="V22" s="7"/>
    </row>
    <row r="23">
      <c r="A23" s="5" t="s">
        <v>22</v>
      </c>
      <c r="B23" s="6" t="s">
        <v>23</v>
      </c>
      <c r="C23" s="5" t="s">
        <v>24</v>
      </c>
      <c r="D23" s="5" t="s">
        <v>54</v>
      </c>
      <c r="E23" s="8" t="s">
        <v>51</v>
      </c>
      <c r="F23" s="5" t="s">
        <v>33</v>
      </c>
      <c r="G23" s="3" t="s">
        <v>28</v>
      </c>
      <c r="H23" s="7"/>
      <c r="I23" s="7">
        <v>0.0</v>
      </c>
      <c r="J23" s="9">
        <v>0.497</v>
      </c>
      <c r="K23" s="7"/>
      <c r="L23" s="7"/>
      <c r="M23" s="10">
        <v>0.059</v>
      </c>
      <c r="N23" s="7"/>
      <c r="O23" s="7"/>
      <c r="P23" s="7"/>
      <c r="Q23" s="7"/>
      <c r="R23" s="7"/>
      <c r="S23" s="7"/>
      <c r="T23" s="7"/>
      <c r="U23" s="7"/>
      <c r="V23" s="7"/>
    </row>
    <row r="24">
      <c r="A24" s="5" t="s">
        <v>22</v>
      </c>
      <c r="B24" s="6" t="s">
        <v>23</v>
      </c>
      <c r="C24" s="5" t="s">
        <v>24</v>
      </c>
      <c r="D24" s="5" t="s">
        <v>55</v>
      </c>
      <c r="E24" s="8" t="s">
        <v>51</v>
      </c>
      <c r="F24" s="5" t="s">
        <v>33</v>
      </c>
      <c r="G24" s="3" t="s">
        <v>28</v>
      </c>
      <c r="H24" s="7"/>
      <c r="I24" s="7">
        <v>0.0</v>
      </c>
      <c r="J24" s="7">
        <v>0.0</v>
      </c>
      <c r="K24" s="7"/>
      <c r="L24" s="7"/>
      <c r="M24" s="10">
        <v>0.0</v>
      </c>
      <c r="N24" s="7"/>
      <c r="O24" s="7"/>
      <c r="P24" s="7"/>
      <c r="Q24" s="7"/>
      <c r="R24" s="7"/>
      <c r="S24" s="7"/>
      <c r="T24" s="7"/>
      <c r="U24" s="7"/>
      <c r="V24" s="7"/>
    </row>
    <row r="25">
      <c r="A25" s="5" t="s">
        <v>22</v>
      </c>
      <c r="B25" s="6" t="s">
        <v>23</v>
      </c>
      <c r="C25" s="5" t="s">
        <v>24</v>
      </c>
      <c r="D25" s="5" t="s">
        <v>56</v>
      </c>
      <c r="E25" s="8" t="s">
        <v>51</v>
      </c>
      <c r="F25" s="5" t="s">
        <v>33</v>
      </c>
      <c r="G25" s="3" t="s">
        <v>28</v>
      </c>
      <c r="H25" s="7"/>
      <c r="I25" s="7">
        <v>0.0</v>
      </c>
      <c r="J25" s="9">
        <v>0.03666666666666667</v>
      </c>
      <c r="K25" s="7"/>
      <c r="L25" s="7"/>
      <c r="M25" s="10">
        <f>AVERAGE(0,0,0.276)</f>
        <v>0.092</v>
      </c>
      <c r="N25" s="7"/>
      <c r="O25" s="7"/>
      <c r="P25" s="7"/>
      <c r="Q25" s="7"/>
      <c r="R25" s="7"/>
      <c r="S25" s="7"/>
      <c r="T25" s="7"/>
      <c r="U25" s="7"/>
      <c r="V25" s="7"/>
    </row>
    <row r="26">
      <c r="A26" s="5" t="s">
        <v>22</v>
      </c>
      <c r="B26" s="6" t="s">
        <v>23</v>
      </c>
      <c r="C26" s="5" t="s">
        <v>24</v>
      </c>
      <c r="D26" s="5" t="s">
        <v>57</v>
      </c>
      <c r="E26" s="8" t="s">
        <v>51</v>
      </c>
      <c r="F26" s="5" t="s">
        <v>58</v>
      </c>
      <c r="G26" s="3" t="s">
        <v>28</v>
      </c>
      <c r="H26" s="7"/>
      <c r="I26" s="7">
        <v>0.0</v>
      </c>
      <c r="J26" s="7">
        <v>0.0</v>
      </c>
      <c r="K26" s="7"/>
      <c r="L26" s="7"/>
      <c r="M26" s="7">
        <v>0.0</v>
      </c>
      <c r="N26" s="7"/>
      <c r="O26" s="7"/>
      <c r="P26" s="7"/>
      <c r="Q26" s="7"/>
      <c r="R26" s="7"/>
      <c r="S26" s="7"/>
      <c r="T26" s="7"/>
      <c r="U26" s="7"/>
      <c r="V26" s="7"/>
    </row>
    <row r="27">
      <c r="A27" s="5" t="s">
        <v>22</v>
      </c>
      <c r="B27" s="6" t="s">
        <v>23</v>
      </c>
      <c r="C27" s="5" t="s">
        <v>24</v>
      </c>
      <c r="D27" s="5" t="s">
        <v>59</v>
      </c>
      <c r="E27" s="5" t="s">
        <v>60</v>
      </c>
      <c r="F27" s="5" t="s">
        <v>33</v>
      </c>
      <c r="G27" s="3" t="s">
        <v>28</v>
      </c>
      <c r="H27" s="10"/>
      <c r="I27" s="10">
        <v>14.459</v>
      </c>
      <c r="J27" s="9">
        <v>0.303</v>
      </c>
      <c r="K27" s="10"/>
      <c r="L27" s="10"/>
      <c r="M27" s="7">
        <v>10.235</v>
      </c>
      <c r="N27" s="10"/>
      <c r="O27" s="10"/>
      <c r="P27" s="10"/>
      <c r="Q27" s="10"/>
      <c r="R27" s="10"/>
      <c r="S27" s="10"/>
      <c r="T27" s="10"/>
      <c r="U27" s="10"/>
      <c r="V27" s="10"/>
    </row>
    <row r="28">
      <c r="A28" s="5" t="s">
        <v>22</v>
      </c>
      <c r="B28" s="6" t="s">
        <v>23</v>
      </c>
      <c r="C28" s="5" t="s">
        <v>24</v>
      </c>
      <c r="D28" s="5" t="s">
        <v>61</v>
      </c>
      <c r="E28" s="5" t="s">
        <v>60</v>
      </c>
      <c r="F28" s="5" t="s">
        <v>33</v>
      </c>
      <c r="G28" s="3" t="s">
        <v>28</v>
      </c>
      <c r="H28" s="7"/>
      <c r="I28" s="7">
        <v>5.044</v>
      </c>
      <c r="J28" s="7">
        <v>0.0</v>
      </c>
      <c r="K28" s="7"/>
      <c r="L28" s="7"/>
      <c r="M28" s="7">
        <v>3.562</v>
      </c>
      <c r="N28" s="7"/>
      <c r="O28" s="7"/>
      <c r="P28" s="7"/>
      <c r="Q28" s="7"/>
      <c r="R28" s="7"/>
      <c r="S28" s="7"/>
      <c r="T28" s="7"/>
      <c r="U28" s="7"/>
      <c r="V28" s="7"/>
    </row>
    <row r="29">
      <c r="A29" s="5" t="s">
        <v>22</v>
      </c>
      <c r="B29" s="6" t="s">
        <v>23</v>
      </c>
      <c r="C29" s="5" t="s">
        <v>24</v>
      </c>
      <c r="D29" s="5" t="s">
        <v>38</v>
      </c>
      <c r="E29" s="5" t="s">
        <v>62</v>
      </c>
      <c r="F29" s="5" t="s">
        <v>58</v>
      </c>
      <c r="G29" s="3" t="s">
        <v>28</v>
      </c>
      <c r="H29" s="7"/>
      <c r="I29" s="7">
        <v>0.0</v>
      </c>
      <c r="J29" s="7">
        <f>1.92/193.04</f>
        <v>0.009946125155</v>
      </c>
      <c r="K29" s="7"/>
      <c r="L29" s="7"/>
      <c r="M29" s="7">
        <f>96.86/193.04</f>
        <v>0.501761293</v>
      </c>
      <c r="N29" s="7"/>
      <c r="O29" s="7"/>
      <c r="P29" s="7"/>
      <c r="Q29" s="7"/>
      <c r="R29" s="7"/>
      <c r="S29" s="7"/>
      <c r="T29" s="7"/>
      <c r="U29" s="7"/>
      <c r="V29" s="7"/>
    </row>
    <row r="30">
      <c r="A30" s="8" t="s">
        <v>22</v>
      </c>
      <c r="B30" s="6" t="s">
        <v>63</v>
      </c>
      <c r="C30" s="5" t="s">
        <v>24</v>
      </c>
      <c r="D30" s="8" t="s">
        <v>64</v>
      </c>
      <c r="E30" s="8" t="s">
        <v>65</v>
      </c>
      <c r="F30" s="8" t="s">
        <v>31</v>
      </c>
      <c r="G30" s="3" t="s">
        <v>28</v>
      </c>
      <c r="H30" s="10"/>
      <c r="I30" s="10">
        <f>0.29/SUM(28.2,22.7,48.8)</f>
        <v>0.002908726179</v>
      </c>
      <c r="J30" s="10">
        <f>20.58/SUM(28.2,22.7,48.8)</f>
        <v>0.2064192578</v>
      </c>
      <c r="K30" s="10"/>
      <c r="L30" s="10"/>
      <c r="M30" s="10">
        <f>7.26/SUM(28.2,22.7,48.8)</f>
        <v>0.07281845537</v>
      </c>
      <c r="N30" s="10"/>
      <c r="O30" s="10"/>
      <c r="P30" s="10"/>
      <c r="Q30" s="10"/>
      <c r="R30" s="10"/>
      <c r="S30" s="10"/>
      <c r="T30" s="10"/>
      <c r="U30" s="10"/>
      <c r="V30" s="10"/>
    </row>
    <row r="31">
      <c r="A31" s="8" t="s">
        <v>22</v>
      </c>
      <c r="B31" s="6" t="s">
        <v>63</v>
      </c>
      <c r="C31" s="5" t="s">
        <v>24</v>
      </c>
      <c r="D31" s="8" t="s">
        <v>64</v>
      </c>
      <c r="E31" s="8" t="s">
        <v>65</v>
      </c>
      <c r="F31" s="8" t="s">
        <v>31</v>
      </c>
      <c r="G31" s="3" t="s">
        <v>28</v>
      </c>
      <c r="H31" s="10"/>
      <c r="I31" s="10">
        <f>0.32/SUM(25,13.8,58.4)</f>
        <v>0.00329218107</v>
      </c>
      <c r="J31" s="10">
        <f>24.79/SUM(25,13.8,58.4)</f>
        <v>0.2550411523</v>
      </c>
      <c r="K31" s="10"/>
      <c r="L31" s="10"/>
      <c r="M31" s="10">
        <f>7.63/SUM(25,13.8,58.4)</f>
        <v>0.07849794239</v>
      </c>
      <c r="N31" s="10"/>
      <c r="O31" s="10"/>
      <c r="P31" s="10"/>
      <c r="Q31" s="10"/>
      <c r="R31" s="10"/>
      <c r="S31" s="10"/>
      <c r="T31" s="10"/>
      <c r="U31" s="10"/>
      <c r="V31" s="10"/>
    </row>
    <row r="32">
      <c r="A32" s="5" t="s">
        <v>22</v>
      </c>
      <c r="B32" s="6" t="s">
        <v>63</v>
      </c>
      <c r="C32" s="5" t="s">
        <v>24</v>
      </c>
      <c r="D32" s="5" t="s">
        <v>64</v>
      </c>
      <c r="E32" s="5" t="s">
        <v>65</v>
      </c>
      <c r="F32" s="5" t="s">
        <v>31</v>
      </c>
      <c r="G32" s="3" t="s">
        <v>28</v>
      </c>
      <c r="H32" s="7"/>
      <c r="I32" s="7">
        <v>0.29</v>
      </c>
      <c r="J32" s="7">
        <v>20.58</v>
      </c>
      <c r="K32" s="7"/>
      <c r="L32" s="7"/>
      <c r="M32" s="7">
        <v>7.26</v>
      </c>
      <c r="N32" s="7"/>
      <c r="O32" s="7"/>
      <c r="P32" s="7"/>
      <c r="Q32" s="7"/>
      <c r="R32" s="7"/>
      <c r="S32" s="7"/>
      <c r="T32" s="7"/>
      <c r="U32" s="7"/>
      <c r="V32" s="7"/>
    </row>
    <row r="33">
      <c r="A33" s="5" t="s">
        <v>22</v>
      </c>
      <c r="B33" s="6" t="s">
        <v>63</v>
      </c>
      <c r="C33" s="5" t="s">
        <v>24</v>
      </c>
      <c r="D33" s="5" t="s">
        <v>64</v>
      </c>
      <c r="E33" s="5" t="s">
        <v>65</v>
      </c>
      <c r="F33" s="5" t="s">
        <v>31</v>
      </c>
      <c r="G33" s="3" t="s">
        <v>28</v>
      </c>
      <c r="H33" s="7"/>
      <c r="I33" s="7">
        <v>0.32</v>
      </c>
      <c r="J33" s="7">
        <v>24.79</v>
      </c>
      <c r="K33" s="7"/>
      <c r="L33" s="7"/>
      <c r="M33" s="7">
        <v>7.63</v>
      </c>
      <c r="N33" s="7"/>
      <c r="O33" s="7"/>
      <c r="P33" s="7"/>
      <c r="Q33" s="7"/>
      <c r="R33" s="7"/>
      <c r="S33" s="7"/>
      <c r="T33" s="7"/>
      <c r="U33" s="7"/>
      <c r="V33" s="7"/>
    </row>
    <row r="34">
      <c r="A34" s="8" t="s">
        <v>22</v>
      </c>
      <c r="B34" s="6" t="s">
        <v>63</v>
      </c>
      <c r="C34" s="5" t="s">
        <v>24</v>
      </c>
      <c r="D34" s="8" t="s">
        <v>66</v>
      </c>
      <c r="E34" s="8" t="s">
        <v>65</v>
      </c>
      <c r="F34" s="8" t="s">
        <v>67</v>
      </c>
      <c r="G34" s="3" t="s">
        <v>28</v>
      </c>
      <c r="H34" s="11"/>
      <c r="I34" s="11" t="s">
        <v>68</v>
      </c>
      <c r="J34" s="9">
        <v>0.0</v>
      </c>
      <c r="K34" s="11"/>
      <c r="L34" s="11"/>
      <c r="M34" s="10">
        <v>0.001</v>
      </c>
      <c r="N34" s="11"/>
      <c r="O34" s="11"/>
      <c r="P34" s="11"/>
      <c r="Q34" s="11"/>
      <c r="R34" s="11"/>
      <c r="S34" s="11"/>
      <c r="T34" s="11"/>
      <c r="U34" s="11"/>
      <c r="V34" s="11"/>
    </row>
    <row r="35">
      <c r="A35" s="8" t="s">
        <v>22</v>
      </c>
      <c r="B35" s="6" t="s">
        <v>63</v>
      </c>
      <c r="C35" s="5" t="s">
        <v>24</v>
      </c>
      <c r="D35" s="8" t="s">
        <v>66</v>
      </c>
      <c r="E35" s="8" t="s">
        <v>65</v>
      </c>
      <c r="F35" s="8" t="s">
        <v>67</v>
      </c>
      <c r="G35" s="3" t="s">
        <v>28</v>
      </c>
      <c r="H35" s="11"/>
      <c r="I35" s="11" t="s">
        <v>68</v>
      </c>
      <c r="J35" s="9">
        <f>0.004/0.13</f>
        <v>0.03076923077</v>
      </c>
      <c r="K35" s="11"/>
      <c r="L35" s="11"/>
      <c r="M35" s="10">
        <v>2.0E-4</v>
      </c>
      <c r="N35" s="11"/>
      <c r="O35" s="11"/>
      <c r="P35" s="11"/>
      <c r="Q35" s="11"/>
      <c r="R35" s="11"/>
      <c r="S35" s="11"/>
      <c r="T35" s="11"/>
      <c r="U35" s="11"/>
      <c r="V35" s="11"/>
    </row>
    <row r="36">
      <c r="A36" s="8" t="s">
        <v>22</v>
      </c>
      <c r="B36" s="6" t="s">
        <v>63</v>
      </c>
      <c r="C36" s="5" t="s">
        <v>24</v>
      </c>
      <c r="D36" s="8" t="s">
        <v>66</v>
      </c>
      <c r="E36" s="8" t="s">
        <v>65</v>
      </c>
      <c r="F36" s="8" t="s">
        <v>67</v>
      </c>
      <c r="G36" s="3" t="s">
        <v>28</v>
      </c>
      <c r="H36" s="11"/>
      <c r="I36" s="11" t="s">
        <v>68</v>
      </c>
      <c r="J36" s="9">
        <f>0.02/0.48</f>
        <v>0.04166666667</v>
      </c>
      <c r="K36" s="11"/>
      <c r="L36" s="11"/>
      <c r="M36" s="10">
        <v>0.01</v>
      </c>
      <c r="N36" s="11"/>
      <c r="O36" s="11"/>
      <c r="P36" s="11"/>
      <c r="Q36" s="11"/>
      <c r="R36" s="11"/>
      <c r="S36" s="11"/>
      <c r="T36" s="11"/>
      <c r="U36" s="11"/>
      <c r="V36" s="11"/>
    </row>
    <row r="37">
      <c r="A37" s="5" t="s">
        <v>22</v>
      </c>
      <c r="B37" s="6" t="s">
        <v>63</v>
      </c>
      <c r="C37" s="5" t="s">
        <v>24</v>
      </c>
      <c r="D37" s="5" t="s">
        <v>69</v>
      </c>
      <c r="E37" s="5" t="s">
        <v>65</v>
      </c>
      <c r="F37" s="5" t="s">
        <v>70</v>
      </c>
      <c r="G37" s="3" t="s">
        <v>28</v>
      </c>
      <c r="H37" s="10"/>
      <c r="I37" s="10">
        <v>1.07</v>
      </c>
      <c r="J37" s="9">
        <v>8.01</v>
      </c>
      <c r="K37" s="10"/>
      <c r="L37" s="10"/>
      <c r="M37" s="10">
        <v>7.16</v>
      </c>
      <c r="N37" s="10"/>
      <c r="O37" s="10"/>
      <c r="P37" s="10"/>
      <c r="Q37" s="10"/>
      <c r="R37" s="10"/>
      <c r="S37" s="10"/>
      <c r="T37" s="10"/>
      <c r="U37" s="10"/>
      <c r="V37" s="10"/>
    </row>
    <row r="38">
      <c r="A38" s="5" t="s">
        <v>22</v>
      </c>
      <c r="B38" s="6" t="s">
        <v>63</v>
      </c>
      <c r="C38" s="5" t="s">
        <v>24</v>
      </c>
      <c r="D38" s="5" t="s">
        <v>69</v>
      </c>
      <c r="E38" s="5" t="s">
        <v>65</v>
      </c>
      <c r="F38" s="5" t="s">
        <v>71</v>
      </c>
      <c r="G38" s="3" t="s">
        <v>28</v>
      </c>
      <c r="H38" s="7"/>
      <c r="I38" s="7">
        <v>0.7</v>
      </c>
      <c r="J38" s="9">
        <v>1.5</v>
      </c>
      <c r="K38" s="7"/>
      <c r="L38" s="7"/>
      <c r="M38" s="10">
        <v>22.6</v>
      </c>
      <c r="N38" s="7"/>
      <c r="O38" s="7"/>
      <c r="P38" s="7"/>
      <c r="Q38" s="7"/>
      <c r="R38" s="7"/>
      <c r="S38" s="7"/>
      <c r="T38" s="7"/>
      <c r="U38" s="7"/>
      <c r="V38" s="7"/>
    </row>
    <row r="39">
      <c r="A39" s="5" t="s">
        <v>22</v>
      </c>
      <c r="B39" s="6" t="s">
        <v>63</v>
      </c>
      <c r="C39" s="5" t="s">
        <v>24</v>
      </c>
      <c r="D39" s="5" t="s">
        <v>69</v>
      </c>
      <c r="E39" s="5" t="s">
        <v>65</v>
      </c>
      <c r="F39" s="5" t="s">
        <v>71</v>
      </c>
      <c r="G39" s="3" t="s">
        <v>28</v>
      </c>
      <c r="H39" s="7"/>
      <c r="I39" s="7">
        <v>0.6</v>
      </c>
      <c r="J39" s="9">
        <v>0.5</v>
      </c>
      <c r="K39" s="7"/>
      <c r="L39" s="7"/>
      <c r="M39" s="10">
        <v>20.4</v>
      </c>
      <c r="N39" s="7"/>
      <c r="O39" s="7"/>
      <c r="P39" s="7"/>
      <c r="Q39" s="7"/>
      <c r="R39" s="7"/>
      <c r="S39" s="7"/>
      <c r="T39" s="7"/>
      <c r="U39" s="7"/>
      <c r="V39" s="7"/>
    </row>
    <row r="40">
      <c r="A40" s="5" t="s">
        <v>22</v>
      </c>
      <c r="B40" s="6" t="s">
        <v>63</v>
      </c>
      <c r="C40" s="5" t="s">
        <v>24</v>
      </c>
      <c r="D40" s="5" t="s">
        <v>69</v>
      </c>
      <c r="E40" s="5" t="s">
        <v>65</v>
      </c>
      <c r="F40" s="5" t="s">
        <v>71</v>
      </c>
      <c r="G40" s="3" t="s">
        <v>28</v>
      </c>
      <c r="H40" s="7"/>
      <c r="I40" s="7">
        <v>0.6</v>
      </c>
      <c r="J40" s="9">
        <v>0.3</v>
      </c>
      <c r="K40" s="7"/>
      <c r="L40" s="7"/>
      <c r="M40" s="10">
        <v>13.2</v>
      </c>
      <c r="N40" s="7"/>
      <c r="O40" s="7"/>
      <c r="P40" s="7"/>
      <c r="Q40" s="7"/>
      <c r="R40" s="7"/>
      <c r="S40" s="7"/>
      <c r="T40" s="7"/>
      <c r="U40" s="7"/>
      <c r="V40" s="7"/>
    </row>
    <row r="41">
      <c r="A41" s="5" t="s">
        <v>22</v>
      </c>
      <c r="B41" s="6" t="s">
        <v>63</v>
      </c>
      <c r="C41" s="5" t="s">
        <v>24</v>
      </c>
      <c r="D41" s="5" t="s">
        <v>69</v>
      </c>
      <c r="E41" s="5" t="s">
        <v>65</v>
      </c>
      <c r="F41" s="5" t="s">
        <v>71</v>
      </c>
      <c r="G41" s="3" t="s">
        <v>28</v>
      </c>
      <c r="H41" s="7"/>
      <c r="I41" s="7">
        <v>0.8</v>
      </c>
      <c r="J41" s="9">
        <v>1.6</v>
      </c>
      <c r="K41" s="7"/>
      <c r="L41" s="7"/>
      <c r="M41" s="10">
        <v>24.9</v>
      </c>
      <c r="N41" s="7"/>
      <c r="O41" s="7"/>
      <c r="P41" s="7"/>
      <c r="Q41" s="7"/>
      <c r="R41" s="7"/>
      <c r="S41" s="7"/>
      <c r="T41" s="7"/>
      <c r="U41" s="7"/>
      <c r="V41" s="7"/>
    </row>
    <row r="42">
      <c r="A42" s="5" t="s">
        <v>22</v>
      </c>
      <c r="B42" s="6" t="s">
        <v>63</v>
      </c>
      <c r="C42" s="5" t="s">
        <v>24</v>
      </c>
      <c r="D42" s="5" t="s">
        <v>69</v>
      </c>
      <c r="E42" s="5" t="s">
        <v>65</v>
      </c>
      <c r="F42" s="5" t="s">
        <v>71</v>
      </c>
      <c r="G42" s="3" t="s">
        <v>28</v>
      </c>
      <c r="H42" s="7"/>
      <c r="I42" s="7">
        <v>1.3</v>
      </c>
      <c r="J42" s="9">
        <v>1.0</v>
      </c>
      <c r="K42" s="7"/>
      <c r="L42" s="7"/>
      <c r="M42" s="10">
        <v>27.5</v>
      </c>
      <c r="N42" s="7"/>
      <c r="O42" s="7"/>
      <c r="P42" s="7"/>
      <c r="Q42" s="7"/>
      <c r="R42" s="7"/>
      <c r="S42" s="7"/>
      <c r="T42" s="7"/>
      <c r="U42" s="7"/>
      <c r="V42" s="7"/>
    </row>
    <row r="43">
      <c r="A43" s="5" t="s">
        <v>22</v>
      </c>
      <c r="B43" s="6" t="s">
        <v>63</v>
      </c>
      <c r="C43" s="5" t="s">
        <v>24</v>
      </c>
      <c r="D43" s="5" t="s">
        <v>69</v>
      </c>
      <c r="E43" s="5" t="s">
        <v>65</v>
      </c>
      <c r="F43" s="5" t="s">
        <v>71</v>
      </c>
      <c r="G43" s="3" t="s">
        <v>28</v>
      </c>
      <c r="H43" s="7"/>
      <c r="I43" s="7">
        <v>2.7</v>
      </c>
      <c r="J43" s="9">
        <v>0.4</v>
      </c>
      <c r="K43" s="7"/>
      <c r="L43" s="7"/>
      <c r="M43" s="10">
        <v>25.9</v>
      </c>
      <c r="N43" s="7"/>
      <c r="O43" s="7"/>
      <c r="P43" s="7"/>
      <c r="Q43" s="7"/>
      <c r="R43" s="7"/>
      <c r="S43" s="7"/>
      <c r="T43" s="7"/>
      <c r="U43" s="7"/>
      <c r="V43" s="7"/>
    </row>
    <row r="44">
      <c r="A44" s="5" t="s">
        <v>22</v>
      </c>
      <c r="B44" s="6" t="s">
        <v>63</v>
      </c>
      <c r="C44" s="5" t="s">
        <v>24</v>
      </c>
      <c r="D44" s="5" t="s">
        <v>69</v>
      </c>
      <c r="E44" s="5" t="s">
        <v>65</v>
      </c>
      <c r="F44" s="5" t="s">
        <v>72</v>
      </c>
      <c r="G44" s="3" t="s">
        <v>28</v>
      </c>
      <c r="H44" s="7"/>
      <c r="I44" s="7">
        <v>0.0</v>
      </c>
      <c r="J44" s="12"/>
      <c r="K44" s="7"/>
      <c r="L44" s="7"/>
      <c r="M44" s="10">
        <v>4.7</v>
      </c>
      <c r="N44" s="7"/>
      <c r="O44" s="7"/>
      <c r="P44" s="7"/>
      <c r="Q44" s="7"/>
      <c r="R44" s="7"/>
      <c r="S44" s="7"/>
      <c r="T44" s="7"/>
      <c r="U44" s="7"/>
      <c r="V44" s="7"/>
    </row>
    <row r="45">
      <c r="A45" s="5" t="s">
        <v>22</v>
      </c>
      <c r="B45" s="6" t="s">
        <v>63</v>
      </c>
      <c r="C45" s="5" t="s">
        <v>24</v>
      </c>
      <c r="D45" s="5" t="s">
        <v>69</v>
      </c>
      <c r="E45" s="5" t="s">
        <v>65</v>
      </c>
      <c r="F45" s="5" t="s">
        <v>72</v>
      </c>
      <c r="G45" s="3" t="s">
        <v>28</v>
      </c>
      <c r="H45" s="7"/>
      <c r="I45" s="7">
        <v>0.0</v>
      </c>
      <c r="J45" s="9">
        <v>16.1</v>
      </c>
      <c r="K45" s="7"/>
      <c r="L45" s="7"/>
      <c r="M45" s="10">
        <v>1.8</v>
      </c>
      <c r="N45" s="7"/>
      <c r="O45" s="7"/>
      <c r="P45" s="7"/>
      <c r="Q45" s="7"/>
      <c r="R45" s="7"/>
      <c r="S45" s="7"/>
      <c r="T45" s="7"/>
      <c r="U45" s="7"/>
      <c r="V45" s="7"/>
    </row>
    <row r="46">
      <c r="A46" s="5" t="s">
        <v>22</v>
      </c>
      <c r="B46" s="6" t="s">
        <v>63</v>
      </c>
      <c r="C46" s="5" t="s">
        <v>24</v>
      </c>
      <c r="D46" s="5" t="s">
        <v>69</v>
      </c>
      <c r="E46" s="5" t="s">
        <v>65</v>
      </c>
      <c r="F46" s="5" t="s">
        <v>72</v>
      </c>
      <c r="G46" s="3" t="s">
        <v>28</v>
      </c>
      <c r="H46" s="7"/>
      <c r="I46" s="7">
        <v>0.0</v>
      </c>
      <c r="J46" s="9">
        <v>14.5</v>
      </c>
      <c r="K46" s="7"/>
      <c r="L46" s="7"/>
      <c r="M46" s="10">
        <v>1.0</v>
      </c>
      <c r="N46" s="7"/>
      <c r="O46" s="7"/>
      <c r="P46" s="7"/>
      <c r="Q46" s="7"/>
      <c r="R46" s="7"/>
      <c r="S46" s="7"/>
      <c r="T46" s="7"/>
      <c r="U46" s="7"/>
      <c r="V46" s="7"/>
    </row>
    <row r="47">
      <c r="A47" s="8" t="s">
        <v>22</v>
      </c>
      <c r="B47" s="6" t="s">
        <v>63</v>
      </c>
      <c r="C47" s="5" t="s">
        <v>24</v>
      </c>
      <c r="D47" s="8" t="s">
        <v>69</v>
      </c>
      <c r="E47" s="8" t="s">
        <v>65</v>
      </c>
      <c r="F47" s="8" t="s">
        <v>72</v>
      </c>
      <c r="G47" s="3" t="s">
        <v>28</v>
      </c>
      <c r="H47" s="10"/>
      <c r="I47" s="10">
        <v>0.0</v>
      </c>
      <c r="J47" s="12" t="s">
        <v>73</v>
      </c>
      <c r="K47" s="10"/>
      <c r="L47" s="10"/>
      <c r="M47" s="10">
        <v>4.7</v>
      </c>
      <c r="N47" s="10"/>
      <c r="O47" s="10"/>
      <c r="P47" s="10"/>
      <c r="Q47" s="10"/>
      <c r="R47" s="10"/>
      <c r="S47" s="10"/>
      <c r="T47" s="10"/>
      <c r="U47" s="10"/>
      <c r="V47" s="10"/>
    </row>
    <row r="48">
      <c r="A48" s="8" t="s">
        <v>22</v>
      </c>
      <c r="B48" s="6" t="s">
        <v>63</v>
      </c>
      <c r="C48" s="5" t="s">
        <v>24</v>
      </c>
      <c r="D48" s="8" t="s">
        <v>69</v>
      </c>
      <c r="E48" s="8" t="s">
        <v>65</v>
      </c>
      <c r="F48" s="8" t="s">
        <v>72</v>
      </c>
      <c r="G48" s="3" t="s">
        <v>28</v>
      </c>
      <c r="H48" s="10"/>
      <c r="I48" s="10">
        <v>0.0</v>
      </c>
      <c r="J48" s="9">
        <v>16.1</v>
      </c>
      <c r="K48" s="10"/>
      <c r="L48" s="10"/>
      <c r="M48" s="10">
        <v>1.8</v>
      </c>
      <c r="N48" s="10"/>
      <c r="O48" s="10"/>
      <c r="P48" s="10"/>
      <c r="Q48" s="10"/>
      <c r="R48" s="10"/>
      <c r="S48" s="10"/>
      <c r="T48" s="10"/>
      <c r="U48" s="10"/>
      <c r="V48" s="10"/>
    </row>
    <row r="49">
      <c r="A49" s="8" t="s">
        <v>22</v>
      </c>
      <c r="B49" s="6" t="s">
        <v>63</v>
      </c>
      <c r="C49" s="5" t="s">
        <v>24</v>
      </c>
      <c r="D49" s="8" t="s">
        <v>69</v>
      </c>
      <c r="E49" s="8" t="s">
        <v>65</v>
      </c>
      <c r="F49" s="8" t="s">
        <v>72</v>
      </c>
      <c r="G49" s="3" t="s">
        <v>28</v>
      </c>
      <c r="H49" s="10"/>
      <c r="I49" s="10">
        <v>0.0</v>
      </c>
      <c r="J49" s="9">
        <v>14.5</v>
      </c>
      <c r="K49" s="10"/>
      <c r="L49" s="10"/>
      <c r="M49" s="10">
        <v>1.0</v>
      </c>
      <c r="N49" s="10"/>
      <c r="O49" s="10"/>
      <c r="P49" s="10"/>
      <c r="Q49" s="10"/>
      <c r="R49" s="10"/>
      <c r="S49" s="10"/>
      <c r="T49" s="10"/>
      <c r="U49" s="10"/>
      <c r="V49" s="10"/>
    </row>
    <row r="50">
      <c r="A50" s="5" t="s">
        <v>22</v>
      </c>
      <c r="B50" s="6" t="s">
        <v>63</v>
      </c>
      <c r="C50" s="5" t="s">
        <v>24</v>
      </c>
      <c r="D50" s="5" t="s">
        <v>69</v>
      </c>
      <c r="E50" s="5" t="s">
        <v>65</v>
      </c>
      <c r="F50" s="5" t="s">
        <v>74</v>
      </c>
      <c r="G50" s="3" t="s">
        <v>28</v>
      </c>
      <c r="H50" s="7"/>
      <c r="I50" s="7">
        <v>0.41</v>
      </c>
      <c r="J50" s="7">
        <v>10.61</v>
      </c>
      <c r="K50" s="7"/>
      <c r="L50" s="7"/>
      <c r="M50" s="7">
        <v>14.06</v>
      </c>
      <c r="N50" s="7"/>
      <c r="O50" s="7"/>
      <c r="P50" s="7"/>
      <c r="Q50" s="7"/>
      <c r="R50" s="7"/>
      <c r="S50" s="7"/>
      <c r="T50" s="7"/>
      <c r="U50" s="7"/>
      <c r="V50" s="7"/>
    </row>
    <row r="51">
      <c r="A51" s="5" t="s">
        <v>22</v>
      </c>
      <c r="B51" s="6" t="s">
        <v>23</v>
      </c>
      <c r="C51" s="5" t="s">
        <v>24</v>
      </c>
      <c r="D51" s="5" t="s">
        <v>75</v>
      </c>
      <c r="E51" s="5" t="s">
        <v>76</v>
      </c>
      <c r="F51" s="5" t="s">
        <v>37</v>
      </c>
      <c r="G51" s="3" t="s">
        <v>28</v>
      </c>
      <c r="H51" s="7"/>
      <c r="I51" s="7">
        <f>22.13/241.51</f>
        <v>0.09163181649</v>
      </c>
      <c r="J51" s="7">
        <f>31.11/241.51</f>
        <v>0.1288145418</v>
      </c>
      <c r="K51" s="7"/>
      <c r="L51" s="7"/>
      <c r="M51" s="7">
        <f>3.71/241.51</f>
        <v>0.01536168275</v>
      </c>
      <c r="N51" s="7"/>
      <c r="O51" s="7"/>
      <c r="P51" s="7"/>
      <c r="Q51" s="7"/>
      <c r="R51" s="7"/>
      <c r="S51" s="7"/>
      <c r="T51" s="7"/>
      <c r="U51" s="7"/>
      <c r="V51" s="7"/>
    </row>
    <row r="52">
      <c r="A52" s="5" t="s">
        <v>22</v>
      </c>
      <c r="B52" s="6" t="s">
        <v>23</v>
      </c>
      <c r="C52" s="5" t="s">
        <v>24</v>
      </c>
      <c r="D52" s="5" t="s">
        <v>77</v>
      </c>
      <c r="E52" s="5" t="s">
        <v>78</v>
      </c>
      <c r="F52" s="5" t="s">
        <v>49</v>
      </c>
      <c r="G52" s="3" t="s">
        <v>28</v>
      </c>
      <c r="H52" s="7"/>
      <c r="I52" s="7">
        <v>0.0</v>
      </c>
      <c r="J52" s="7">
        <v>0.0</v>
      </c>
      <c r="K52" s="7"/>
      <c r="L52" s="7"/>
      <c r="M52" s="7">
        <v>0.0</v>
      </c>
      <c r="N52" s="7"/>
      <c r="O52" s="7"/>
      <c r="P52" s="7"/>
      <c r="Q52" s="7"/>
      <c r="R52" s="7"/>
      <c r="S52" s="7"/>
      <c r="T52" s="7"/>
      <c r="U52" s="7"/>
      <c r="V52" s="7"/>
    </row>
    <row r="53">
      <c r="A53" s="5" t="s">
        <v>22</v>
      </c>
      <c r="B53" s="6" t="s">
        <v>23</v>
      </c>
      <c r="C53" s="5" t="s">
        <v>24</v>
      </c>
      <c r="D53" s="5" t="s">
        <v>79</v>
      </c>
      <c r="E53" s="5" t="s">
        <v>80</v>
      </c>
      <c r="F53" s="5" t="s">
        <v>37</v>
      </c>
      <c r="G53" s="3" t="s">
        <v>28</v>
      </c>
      <c r="H53" s="7"/>
      <c r="I53" s="7">
        <v>0.0</v>
      </c>
      <c r="J53" s="7">
        <f>93.47/212.99</f>
        <v>0.4388468942</v>
      </c>
      <c r="K53" s="7"/>
      <c r="L53" s="7"/>
      <c r="M53" s="7">
        <v>0.0</v>
      </c>
      <c r="N53" s="7"/>
      <c r="O53" s="7"/>
      <c r="P53" s="7"/>
      <c r="Q53" s="7"/>
      <c r="R53" s="7"/>
      <c r="S53" s="7"/>
      <c r="T53" s="7"/>
      <c r="U53" s="7"/>
      <c r="V53" s="7"/>
    </row>
    <row r="54">
      <c r="A54" s="5" t="s">
        <v>22</v>
      </c>
      <c r="B54" s="6" t="s">
        <v>23</v>
      </c>
      <c r="C54" s="5" t="s">
        <v>24</v>
      </c>
      <c r="D54" s="5" t="s">
        <v>81</v>
      </c>
      <c r="E54" s="5" t="s">
        <v>80</v>
      </c>
      <c r="F54" s="5" t="s">
        <v>33</v>
      </c>
      <c r="G54" s="3" t="s">
        <v>28</v>
      </c>
      <c r="H54" s="7"/>
      <c r="I54" s="7">
        <v>0.0</v>
      </c>
      <c r="J54" s="7">
        <v>13.522</v>
      </c>
      <c r="K54" s="7"/>
      <c r="L54" s="7"/>
      <c r="M54" s="7">
        <v>0.073</v>
      </c>
      <c r="N54" s="7"/>
      <c r="O54" s="7"/>
      <c r="P54" s="7"/>
      <c r="Q54" s="7"/>
      <c r="R54" s="7"/>
      <c r="S54" s="7"/>
      <c r="T54" s="7"/>
      <c r="U54" s="7"/>
      <c r="V54" s="7"/>
    </row>
    <row r="55">
      <c r="A55" s="5" t="s">
        <v>22</v>
      </c>
      <c r="B55" s="6" t="s">
        <v>23</v>
      </c>
      <c r="C55" s="5" t="s">
        <v>24</v>
      </c>
      <c r="D55" s="5" t="s">
        <v>82</v>
      </c>
      <c r="E55" s="5" t="s">
        <v>83</v>
      </c>
      <c r="F55" s="5" t="s">
        <v>47</v>
      </c>
      <c r="G55" s="3" t="s">
        <v>28</v>
      </c>
      <c r="H55" s="7"/>
      <c r="I55" s="7">
        <v>0.0</v>
      </c>
      <c r="J55" s="9">
        <v>0.0</v>
      </c>
      <c r="K55" s="7"/>
      <c r="L55" s="7"/>
      <c r="M55" s="10">
        <f>3.2/SUM(3.7,5.3,3.5)</f>
        <v>0.256</v>
      </c>
      <c r="N55" s="7"/>
      <c r="O55" s="7"/>
      <c r="P55" s="7"/>
      <c r="Q55" s="7"/>
      <c r="R55" s="7"/>
      <c r="S55" s="7"/>
      <c r="T55" s="7"/>
      <c r="U55" s="7"/>
      <c r="V55" s="7"/>
    </row>
    <row r="56">
      <c r="A56" s="5" t="s">
        <v>84</v>
      </c>
      <c r="B56" s="6" t="s">
        <v>23</v>
      </c>
      <c r="C56" s="5" t="s">
        <v>24</v>
      </c>
      <c r="D56" s="5" t="s">
        <v>85</v>
      </c>
      <c r="E56" s="5" t="s">
        <v>26</v>
      </c>
      <c r="F56" s="13" t="s">
        <v>86</v>
      </c>
      <c r="G56" s="3" t="s">
        <v>28</v>
      </c>
      <c r="H56" s="10"/>
      <c r="I56" s="10">
        <v>0.8</v>
      </c>
      <c r="J56" s="9">
        <v>0.0</v>
      </c>
      <c r="K56" s="14">
        <v>0.5</v>
      </c>
      <c r="L56" s="14">
        <v>0.2</v>
      </c>
      <c r="M56" s="10">
        <v>11.1</v>
      </c>
      <c r="N56" s="10"/>
      <c r="O56" s="14">
        <v>12.6</v>
      </c>
      <c r="P56" s="14">
        <v>0.8</v>
      </c>
      <c r="Q56" s="14">
        <v>0.4</v>
      </c>
      <c r="R56" s="10"/>
      <c r="S56" s="14">
        <v>5.7</v>
      </c>
      <c r="T56" s="10"/>
      <c r="U56" s="14">
        <v>0.0</v>
      </c>
      <c r="V56" s="14">
        <v>6.9</v>
      </c>
    </row>
    <row r="57">
      <c r="A57" s="5" t="s">
        <v>84</v>
      </c>
      <c r="B57" s="6" t="s">
        <v>23</v>
      </c>
      <c r="C57" s="5" t="s">
        <v>24</v>
      </c>
      <c r="D57" s="5" t="s">
        <v>87</v>
      </c>
      <c r="E57" s="5" t="s">
        <v>26</v>
      </c>
      <c r="F57" s="13" t="s">
        <v>86</v>
      </c>
      <c r="G57" s="3" t="s">
        <v>28</v>
      </c>
      <c r="H57" s="10"/>
      <c r="I57" s="14">
        <v>0.3</v>
      </c>
      <c r="J57" s="9">
        <v>0.0</v>
      </c>
      <c r="K57" s="14">
        <v>0.2</v>
      </c>
      <c r="L57" s="14">
        <v>0.0</v>
      </c>
      <c r="M57" s="15">
        <v>4.6</v>
      </c>
      <c r="N57" s="10"/>
      <c r="O57" s="14">
        <v>5.1</v>
      </c>
      <c r="P57" s="14">
        <v>0.5</v>
      </c>
      <c r="Q57" s="14">
        <v>0.8</v>
      </c>
      <c r="R57" s="10"/>
      <c r="S57" s="14">
        <v>4.5</v>
      </c>
      <c r="T57" s="10"/>
      <c r="U57" s="14">
        <v>0.0</v>
      </c>
      <c r="V57" s="14">
        <v>5.8</v>
      </c>
    </row>
    <row r="58">
      <c r="A58" s="5" t="s">
        <v>84</v>
      </c>
      <c r="B58" s="6" t="s">
        <v>23</v>
      </c>
      <c r="C58" s="5" t="s">
        <v>24</v>
      </c>
      <c r="D58" s="5" t="s">
        <v>88</v>
      </c>
      <c r="E58" s="5" t="s">
        <v>26</v>
      </c>
      <c r="F58" s="13" t="s">
        <v>47</v>
      </c>
      <c r="G58" s="3" t="s">
        <v>28</v>
      </c>
      <c r="H58" s="7"/>
      <c r="I58" s="15">
        <f>0.2*100/(27.6+28.1+37.2)</f>
        <v>0.215285253</v>
      </c>
      <c r="J58" s="15">
        <f>0.3*100/(27.6+28.1+37.2)</f>
        <v>0.3229278794</v>
      </c>
      <c r="K58" s="15">
        <f>3.3*100/(27.6+28.1+37.2)</f>
        <v>3.552206674</v>
      </c>
      <c r="L58" s="15">
        <v>0.0</v>
      </c>
      <c r="M58" s="15">
        <f>28.4*100/(27.6+28.1+37.2)</f>
        <v>30.57050592</v>
      </c>
      <c r="N58" s="15">
        <v>0.0</v>
      </c>
      <c r="O58" s="15">
        <f>(0.3+3.3+28.4+0.2)*100/(27.6+28.1+37.2)</f>
        <v>34.66092573</v>
      </c>
      <c r="P58" s="15">
        <f>1.5*100/(27.6+28.1+37.2)</f>
        <v>1.614639397</v>
      </c>
      <c r="Q58" s="15">
        <v>0.0</v>
      </c>
      <c r="R58" s="7"/>
      <c r="S58" s="15">
        <f>2.2*100/(27.6+28.1+37.2)</f>
        <v>2.368137783</v>
      </c>
      <c r="T58" s="7"/>
      <c r="U58" s="15">
        <f>1.3*100/(27.6+28.1+37.2)</f>
        <v>1.399354144</v>
      </c>
      <c r="V58" s="15">
        <f>(1.5+2.2+1.3)*100/(27.6+28.1+37.2)</f>
        <v>5.382131324</v>
      </c>
    </row>
    <row r="59">
      <c r="A59" s="5" t="s">
        <v>84</v>
      </c>
      <c r="B59" s="6" t="s">
        <v>23</v>
      </c>
      <c r="C59" s="5" t="s">
        <v>24</v>
      </c>
      <c r="D59" s="5" t="s">
        <v>89</v>
      </c>
      <c r="E59" s="5" t="s">
        <v>26</v>
      </c>
      <c r="F59" s="13" t="s">
        <v>86</v>
      </c>
      <c r="G59" s="3" t="s">
        <v>28</v>
      </c>
      <c r="H59" s="10"/>
      <c r="I59" s="10">
        <v>2.0</v>
      </c>
      <c r="J59" s="9">
        <v>0.3</v>
      </c>
      <c r="K59" s="14">
        <v>2.2</v>
      </c>
      <c r="L59" s="14">
        <v>0.0</v>
      </c>
      <c r="M59" s="10">
        <v>6.0</v>
      </c>
      <c r="N59" s="10"/>
      <c r="O59" s="14">
        <v>10.5</v>
      </c>
      <c r="P59" s="14">
        <v>2.2</v>
      </c>
      <c r="Q59" s="14">
        <v>0.3</v>
      </c>
      <c r="R59" s="10"/>
      <c r="S59" s="14">
        <v>0.0</v>
      </c>
      <c r="T59" s="10"/>
      <c r="U59" s="14">
        <v>0.0</v>
      </c>
      <c r="V59" s="14">
        <v>2.5</v>
      </c>
    </row>
    <row r="60">
      <c r="A60" s="5" t="s">
        <v>84</v>
      </c>
      <c r="B60" s="6" t="s">
        <v>23</v>
      </c>
      <c r="C60" s="5" t="s">
        <v>24</v>
      </c>
      <c r="D60" s="5" t="s">
        <v>90</v>
      </c>
      <c r="E60" s="5" t="s">
        <v>26</v>
      </c>
      <c r="F60" s="13" t="s">
        <v>91</v>
      </c>
      <c r="G60" s="3" t="s">
        <v>28</v>
      </c>
      <c r="H60" s="15"/>
      <c r="I60" s="7">
        <f>11.8*100/126</f>
        <v>9.365079365</v>
      </c>
      <c r="J60" s="7">
        <f>5.5*100/126</f>
        <v>4.365079365</v>
      </c>
      <c r="K60" s="7">
        <f>13.2*100/126</f>
        <v>10.47619048</v>
      </c>
      <c r="L60" s="7">
        <f>0.2*100/126</f>
        <v>0.1587301587</v>
      </c>
      <c r="M60" s="7">
        <f>32*100/126</f>
        <v>25.3968254</v>
      </c>
      <c r="N60" s="15">
        <v>0.0</v>
      </c>
      <c r="O60" s="7">
        <f>(0.5+5.5+13.2+0.3+32+11.8)*100/126</f>
        <v>50.23809524</v>
      </c>
      <c r="P60" s="7">
        <f>8.8*100/126</f>
        <v>6.984126984</v>
      </c>
      <c r="Q60" s="7">
        <f>0.5*100/126</f>
        <v>0.3968253968</v>
      </c>
      <c r="R60" s="7"/>
      <c r="S60" s="15">
        <v>0.0</v>
      </c>
      <c r="T60" s="7"/>
      <c r="U60" s="15">
        <v>0.0</v>
      </c>
      <c r="V60" s="7">
        <f>(8.8+0.5)*100/126</f>
        <v>7.380952381</v>
      </c>
    </row>
    <row r="61">
      <c r="A61" s="5" t="s">
        <v>84</v>
      </c>
      <c r="B61" s="6" t="s">
        <v>23</v>
      </c>
      <c r="C61" s="5" t="s">
        <v>24</v>
      </c>
      <c r="D61" s="5" t="s">
        <v>90</v>
      </c>
      <c r="E61" s="5" t="s">
        <v>26</v>
      </c>
      <c r="F61" s="13" t="s">
        <v>91</v>
      </c>
      <c r="G61" s="3" t="s">
        <v>28</v>
      </c>
      <c r="H61" s="7"/>
      <c r="I61" s="15">
        <f>7.5/176</f>
        <v>0.04261363636</v>
      </c>
      <c r="J61" s="7">
        <f>0.7/176</f>
        <v>0.003977272727</v>
      </c>
      <c r="K61" s="7">
        <f>29.1/176</f>
        <v>0.1653409091</v>
      </c>
      <c r="L61" s="7">
        <f>0.2/176</f>
        <v>0.001136363636</v>
      </c>
      <c r="M61" s="7">
        <f>45.9*100/176</f>
        <v>26.07954545</v>
      </c>
      <c r="N61" s="15">
        <v>0.0</v>
      </c>
      <c r="O61" s="7">
        <f>(0.7+29.1+0.2+45.9+7.5)*100/176</f>
        <v>47.38636364</v>
      </c>
      <c r="P61" s="7">
        <f>1.1*100/176</f>
        <v>0.625</v>
      </c>
      <c r="Q61" s="7">
        <f>0.7*100/176</f>
        <v>0.3977272727</v>
      </c>
      <c r="R61" s="7"/>
      <c r="S61" s="15">
        <v>0.0</v>
      </c>
      <c r="T61" s="7"/>
      <c r="U61" s="15">
        <v>0.0</v>
      </c>
      <c r="V61" s="7">
        <f>(1.1+0.7)*100/100</f>
        <v>1.8</v>
      </c>
    </row>
    <row r="62">
      <c r="A62" s="5" t="s">
        <v>84</v>
      </c>
      <c r="B62" s="6" t="s">
        <v>23</v>
      </c>
      <c r="C62" s="5" t="s">
        <v>24</v>
      </c>
      <c r="D62" s="5" t="s">
        <v>92</v>
      </c>
      <c r="E62" s="5" t="s">
        <v>26</v>
      </c>
      <c r="F62" s="13" t="s">
        <v>86</v>
      </c>
      <c r="G62" s="3" t="s">
        <v>28</v>
      </c>
      <c r="H62" s="10"/>
      <c r="I62" s="10">
        <v>3.9</v>
      </c>
      <c r="J62" s="9">
        <v>0.1</v>
      </c>
      <c r="K62" s="14">
        <v>5.3</v>
      </c>
      <c r="L62" s="14">
        <v>0.3</v>
      </c>
      <c r="M62" s="10">
        <v>19.3</v>
      </c>
      <c r="N62" s="10"/>
      <c r="O62" s="14">
        <v>28.9</v>
      </c>
      <c r="P62" s="14">
        <v>0.4</v>
      </c>
      <c r="Q62" s="14">
        <v>0.2</v>
      </c>
      <c r="R62" s="10"/>
      <c r="S62" s="14">
        <v>0.3</v>
      </c>
      <c r="T62" s="10"/>
      <c r="U62" s="14">
        <v>0.0</v>
      </c>
      <c r="V62" s="14">
        <v>0.9</v>
      </c>
    </row>
    <row r="63">
      <c r="A63" s="5" t="s">
        <v>84</v>
      </c>
      <c r="B63" s="6" t="s">
        <v>23</v>
      </c>
      <c r="C63" s="5" t="s">
        <v>24</v>
      </c>
      <c r="D63" s="5" t="s">
        <v>93</v>
      </c>
      <c r="E63" s="8" t="s">
        <v>26</v>
      </c>
      <c r="F63" s="13" t="s">
        <v>94</v>
      </c>
      <c r="G63" s="3" t="s">
        <v>28</v>
      </c>
      <c r="H63" s="7"/>
      <c r="I63" s="7">
        <v>1.88</v>
      </c>
      <c r="J63" s="7">
        <v>1.5</v>
      </c>
      <c r="K63" s="15">
        <v>1.52</v>
      </c>
      <c r="L63" s="15">
        <v>0.45</v>
      </c>
      <c r="M63" s="7">
        <v>8.43</v>
      </c>
      <c r="N63" s="15">
        <v>0.0</v>
      </c>
      <c r="O63" s="7">
        <f>1.5+1.52+0.19+0.82+0.45+8.43+1.88</f>
        <v>14.79</v>
      </c>
      <c r="P63" s="15">
        <v>1.91</v>
      </c>
      <c r="Q63" s="15">
        <v>0.0</v>
      </c>
      <c r="R63" s="15">
        <v>0.95</v>
      </c>
      <c r="S63" s="15">
        <v>0.8</v>
      </c>
      <c r="T63" s="7"/>
      <c r="U63" s="15">
        <v>0.0</v>
      </c>
      <c r="V63">
        <f>1.91+1.05+0.95+0.8</f>
        <v>4.71</v>
      </c>
    </row>
    <row r="64">
      <c r="A64" s="5" t="s">
        <v>84</v>
      </c>
      <c r="B64" s="6" t="s">
        <v>23</v>
      </c>
      <c r="C64" s="5" t="s">
        <v>24</v>
      </c>
      <c r="D64" s="5" t="s">
        <v>93</v>
      </c>
      <c r="E64" s="5" t="s">
        <v>26</v>
      </c>
      <c r="F64" s="13" t="s">
        <v>95</v>
      </c>
      <c r="G64" s="3" t="s">
        <v>28</v>
      </c>
      <c r="I64" s="7">
        <f>3.2*100/62.2</f>
        <v>5.144694534</v>
      </c>
      <c r="J64" s="7">
        <f>0.8*100/62.2</f>
        <v>1.286173633</v>
      </c>
      <c r="K64" s="15">
        <v>0.0</v>
      </c>
      <c r="L64" s="15">
        <v>0.0</v>
      </c>
      <c r="M64" s="7">
        <f>18.6*100/62.2</f>
        <v>29.90353698</v>
      </c>
      <c r="N64" s="15">
        <v>0.0</v>
      </c>
      <c r="O64" s="7">
        <f>(0.8+18.6+3.2)*100/62.2</f>
        <v>36.33440514</v>
      </c>
      <c r="P64" s="7">
        <f>2*100/62.2</f>
        <v>3.215434084</v>
      </c>
      <c r="Q64" s="15">
        <v>0.0</v>
      </c>
      <c r="R64" s="7"/>
      <c r="S64" s="15">
        <v>0.0</v>
      </c>
      <c r="T64" s="7"/>
      <c r="U64" s="15">
        <v>0.0</v>
      </c>
      <c r="V64" s="7">
        <f>2*100/62.2</f>
        <v>3.215434084</v>
      </c>
    </row>
    <row r="65">
      <c r="A65" s="5" t="s">
        <v>84</v>
      </c>
      <c r="B65" s="6" t="s">
        <v>23</v>
      </c>
      <c r="C65" s="5" t="s">
        <v>24</v>
      </c>
      <c r="D65" s="5" t="s">
        <v>96</v>
      </c>
      <c r="E65" s="5" t="s">
        <v>97</v>
      </c>
      <c r="F65" s="13" t="s">
        <v>86</v>
      </c>
      <c r="G65" s="3" t="s">
        <v>28</v>
      </c>
      <c r="H65" s="10"/>
      <c r="I65" s="10">
        <v>0.0</v>
      </c>
      <c r="J65" s="15">
        <v>11.1</v>
      </c>
      <c r="K65" s="14">
        <v>8.4</v>
      </c>
      <c r="L65" s="14">
        <v>0.3</v>
      </c>
      <c r="M65" s="7">
        <f>AVERAGE(4.3,5.3)</f>
        <v>4.8</v>
      </c>
      <c r="N65" s="14">
        <v>0.0</v>
      </c>
      <c r="O65" s="14">
        <v>23.2</v>
      </c>
      <c r="P65" s="14">
        <v>13.9</v>
      </c>
      <c r="Q65" s="14">
        <v>2.7</v>
      </c>
      <c r="R65" s="10"/>
      <c r="S65" s="14">
        <v>3.2</v>
      </c>
      <c r="T65" s="10"/>
      <c r="U65" s="10"/>
      <c r="V65" s="14">
        <v>26.5</v>
      </c>
    </row>
    <row r="66">
      <c r="A66" s="5" t="s">
        <v>84</v>
      </c>
      <c r="B66" s="6" t="s">
        <v>23</v>
      </c>
      <c r="C66" s="5" t="s">
        <v>24</v>
      </c>
      <c r="D66" s="5" t="s">
        <v>98</v>
      </c>
      <c r="E66" s="5" t="s">
        <v>30</v>
      </c>
      <c r="F66" s="13" t="s">
        <v>95</v>
      </c>
      <c r="G66" s="3" t="s">
        <v>28</v>
      </c>
      <c r="H66" s="7"/>
      <c r="I66" s="7">
        <v>0.0</v>
      </c>
      <c r="J66" s="7">
        <f>13.9*100/32.8</f>
        <v>42.37804878</v>
      </c>
      <c r="K66" s="7">
        <f>1.8*100/32.8</f>
        <v>5.487804878</v>
      </c>
      <c r="L66" s="15">
        <v>0.0</v>
      </c>
      <c r="M66" s="7">
        <v>0.0</v>
      </c>
      <c r="N66" s="15">
        <v>0.0</v>
      </c>
      <c r="O66" s="7">
        <f>(13.9+1.8)*100/32.8</f>
        <v>47.86585366</v>
      </c>
      <c r="P66" s="15">
        <f>2.6*100/32.8</f>
        <v>7.926829268</v>
      </c>
      <c r="Q66" s="15">
        <v>0.0</v>
      </c>
      <c r="R66" s="7"/>
      <c r="S66" s="15">
        <v>0.0</v>
      </c>
      <c r="T66" s="7"/>
      <c r="U66" s="15">
        <v>0.0</v>
      </c>
      <c r="V66" s="7">
        <f>2.6*100/32.8</f>
        <v>7.926829268</v>
      </c>
    </row>
    <row r="67">
      <c r="A67" s="5" t="s">
        <v>84</v>
      </c>
      <c r="B67" s="6" t="s">
        <v>23</v>
      </c>
      <c r="C67" s="5" t="s">
        <v>24</v>
      </c>
      <c r="D67" s="5" t="s">
        <v>99</v>
      </c>
      <c r="E67" s="5" t="s">
        <v>30</v>
      </c>
      <c r="F67" s="13" t="s">
        <v>100</v>
      </c>
      <c r="G67" s="3" t="s">
        <v>28</v>
      </c>
      <c r="H67" s="7"/>
      <c r="I67" s="7">
        <v>0.0</v>
      </c>
      <c r="J67" s="7">
        <v>25.1</v>
      </c>
      <c r="K67" s="15">
        <v>1.1</v>
      </c>
      <c r="L67" s="15">
        <v>0.0</v>
      </c>
      <c r="M67" s="7">
        <v>0.0</v>
      </c>
      <c r="N67" s="15">
        <v>0.0</v>
      </c>
      <c r="O67" s="7">
        <f>2.7+10.5+25.1+1.1</f>
        <v>39.4</v>
      </c>
      <c r="P67" s="15">
        <v>5.4</v>
      </c>
      <c r="Q67" s="15">
        <v>2.7</v>
      </c>
      <c r="R67" s="7"/>
      <c r="S67" s="15">
        <v>0.0</v>
      </c>
      <c r="T67" s="7"/>
      <c r="U67" s="15">
        <v>0.0</v>
      </c>
      <c r="V67" s="7">
        <f>5.4+2.7</f>
        <v>8.1</v>
      </c>
    </row>
    <row r="68">
      <c r="A68" s="5" t="s">
        <v>84</v>
      </c>
      <c r="B68" s="6" t="s">
        <v>23</v>
      </c>
      <c r="C68" s="5" t="s">
        <v>24</v>
      </c>
      <c r="D68" s="5" t="s">
        <v>99</v>
      </c>
      <c r="E68" s="5" t="s">
        <v>30</v>
      </c>
      <c r="F68" s="13" t="s">
        <v>94</v>
      </c>
      <c r="G68" s="3" t="s">
        <v>28</v>
      </c>
      <c r="H68" s="7"/>
      <c r="I68" s="7">
        <v>0.0</v>
      </c>
      <c r="J68" s="7">
        <v>22.62</v>
      </c>
      <c r="K68" s="15">
        <v>2.33</v>
      </c>
      <c r="L68" s="15">
        <v>0.0</v>
      </c>
      <c r="M68" s="7">
        <v>0.02</v>
      </c>
      <c r="N68" s="15">
        <v>0.09</v>
      </c>
      <c r="O68" s="7">
        <f>17.22+22.62+2.33+1.2+0+0.02+0.02+0.09</f>
        <v>43.5</v>
      </c>
      <c r="P68" s="15">
        <v>5.77</v>
      </c>
      <c r="Q68" s="15">
        <v>0.0</v>
      </c>
      <c r="R68" s="7"/>
      <c r="S68" s="15">
        <v>0.0</v>
      </c>
      <c r="T68" s="7"/>
      <c r="U68" s="15">
        <v>0.0</v>
      </c>
      <c r="V68" s="7">
        <f>5.77+0.03</f>
        <v>5.8</v>
      </c>
    </row>
    <row r="69">
      <c r="A69" s="5" t="s">
        <v>84</v>
      </c>
      <c r="B69" s="6" t="s">
        <v>23</v>
      </c>
      <c r="C69" s="5" t="s">
        <v>24</v>
      </c>
      <c r="D69" s="5" t="s">
        <v>99</v>
      </c>
      <c r="E69" s="5" t="s">
        <v>30</v>
      </c>
      <c r="F69" s="13" t="s">
        <v>86</v>
      </c>
      <c r="G69" s="3" t="s">
        <v>28</v>
      </c>
      <c r="H69" s="10"/>
      <c r="I69" s="10">
        <v>0.0</v>
      </c>
      <c r="J69" s="9">
        <v>43.5</v>
      </c>
      <c r="K69" s="14">
        <v>1.0</v>
      </c>
      <c r="L69" s="14">
        <v>0.0</v>
      </c>
      <c r="M69" s="10">
        <v>0.0</v>
      </c>
      <c r="N69" s="14">
        <v>0.0</v>
      </c>
      <c r="O69" s="14">
        <v>69.7</v>
      </c>
      <c r="P69" s="14">
        <v>4.8</v>
      </c>
      <c r="Q69" s="14">
        <v>2.7</v>
      </c>
      <c r="R69" s="10"/>
      <c r="S69" s="14">
        <v>0.0</v>
      </c>
      <c r="T69" s="10"/>
      <c r="U69" s="14">
        <v>0.0</v>
      </c>
      <c r="V69" s="14">
        <v>8.2</v>
      </c>
    </row>
    <row r="70">
      <c r="A70" s="5" t="s">
        <v>84</v>
      </c>
      <c r="B70" s="6" t="s">
        <v>23</v>
      </c>
      <c r="C70" s="5" t="s">
        <v>24</v>
      </c>
      <c r="D70" s="5" t="s">
        <v>101</v>
      </c>
      <c r="E70" s="5" t="s">
        <v>30</v>
      </c>
      <c r="F70" s="13" t="s">
        <v>86</v>
      </c>
      <c r="G70" s="3" t="s">
        <v>28</v>
      </c>
      <c r="H70" s="10"/>
      <c r="I70" s="10">
        <v>0.0</v>
      </c>
      <c r="J70" s="9">
        <v>21.7</v>
      </c>
      <c r="K70" s="14">
        <v>2.7</v>
      </c>
      <c r="L70" s="14">
        <v>1.1</v>
      </c>
      <c r="M70" s="10">
        <v>3.2</v>
      </c>
      <c r="N70" s="14">
        <v>0.0</v>
      </c>
      <c r="O70" s="14">
        <v>43.1</v>
      </c>
      <c r="P70" s="14">
        <v>10.3</v>
      </c>
      <c r="Q70" s="14">
        <v>0.0</v>
      </c>
      <c r="R70" s="10"/>
      <c r="S70" s="14">
        <v>0.5</v>
      </c>
      <c r="T70" s="10"/>
      <c r="U70" s="14">
        <v>0.0</v>
      </c>
      <c r="V70" s="14">
        <v>15.9</v>
      </c>
    </row>
    <row r="71">
      <c r="A71" s="5" t="s">
        <v>84</v>
      </c>
      <c r="B71" s="6" t="s">
        <v>23</v>
      </c>
      <c r="C71" s="5" t="s">
        <v>24</v>
      </c>
      <c r="D71" s="5" t="s">
        <v>102</v>
      </c>
      <c r="E71" s="5" t="s">
        <v>30</v>
      </c>
      <c r="F71" s="16" t="s">
        <v>103</v>
      </c>
      <c r="G71" s="3" t="s">
        <v>28</v>
      </c>
      <c r="H71" s="7"/>
      <c r="I71" s="7">
        <v>0.0</v>
      </c>
      <c r="J71" s="7">
        <v>15.5</v>
      </c>
      <c r="K71" s="15">
        <v>0.0</v>
      </c>
      <c r="L71" s="15">
        <v>0.0</v>
      </c>
      <c r="M71" s="7">
        <v>1.0</v>
      </c>
      <c r="N71" s="15">
        <v>1.0</v>
      </c>
      <c r="O71" s="7">
        <f>3.3+12.6+15.5+8.8+0.4+1</f>
        <v>41.6</v>
      </c>
      <c r="P71" s="15">
        <v>5.7</v>
      </c>
      <c r="Q71" s="15">
        <v>0.6</v>
      </c>
      <c r="R71" s="7"/>
      <c r="S71" s="15">
        <v>0.7</v>
      </c>
      <c r="T71" s="7"/>
      <c r="U71" s="15">
        <v>0.0</v>
      </c>
      <c r="V71" s="7">
        <f>5.7+0.6+0.3+0.7</f>
        <v>7.3</v>
      </c>
    </row>
    <row r="72">
      <c r="A72" s="5" t="s">
        <v>84</v>
      </c>
      <c r="B72" s="6" t="s">
        <v>23</v>
      </c>
      <c r="C72" s="5" t="s">
        <v>24</v>
      </c>
      <c r="D72" s="5" t="s">
        <v>104</v>
      </c>
      <c r="E72" s="5" t="s">
        <v>30</v>
      </c>
      <c r="F72" s="13" t="s">
        <v>47</v>
      </c>
      <c r="G72" s="3" t="s">
        <v>28</v>
      </c>
      <c r="H72" s="7"/>
      <c r="I72" s="15">
        <f>0.1*100/(18.5+33.8+21.7)</f>
        <v>0.1351351351</v>
      </c>
      <c r="J72" s="15">
        <f>11.4*100/(18.5+33.8+21.7)</f>
        <v>15.40540541</v>
      </c>
      <c r="K72" s="15">
        <f>3*100/(18.5+33.8+21.7)</f>
        <v>4.054054054</v>
      </c>
      <c r="L72" s="15">
        <v>0.0</v>
      </c>
      <c r="M72" s="15">
        <v>0.0</v>
      </c>
      <c r="N72" s="15">
        <v>0.0</v>
      </c>
      <c r="O72" s="15">
        <f>(11.4+3+0.1)*100/(18.5+33.8+21.7)</f>
        <v>19.59459459</v>
      </c>
      <c r="P72" s="15">
        <f>5.1*100/(18.5+33.8+21.7)</f>
        <v>6.891891892</v>
      </c>
      <c r="Q72" s="15">
        <v>0.0</v>
      </c>
      <c r="R72" s="7"/>
      <c r="S72" s="15">
        <v>0.0</v>
      </c>
      <c r="T72" s="7"/>
      <c r="U72" s="15">
        <f>2.1*100/(18.5+33.8+21.7)</f>
        <v>2.837837838</v>
      </c>
      <c r="V72" s="15">
        <f>(5.1+0.1)*100/(18.5+33.8+21.7)</f>
        <v>7.027027027</v>
      </c>
    </row>
    <row r="73">
      <c r="A73" s="5" t="s">
        <v>84</v>
      </c>
      <c r="B73" s="6" t="s">
        <v>23</v>
      </c>
      <c r="C73" s="5" t="s">
        <v>24</v>
      </c>
      <c r="D73" s="5" t="s">
        <v>105</v>
      </c>
      <c r="E73" s="5" t="s">
        <v>30</v>
      </c>
      <c r="F73" s="13" t="s">
        <v>47</v>
      </c>
      <c r="G73" s="3" t="s">
        <v>28</v>
      </c>
      <c r="H73" s="7"/>
      <c r="I73" s="15">
        <f>0.2*100/(8+12.9+18.6)</f>
        <v>0.5063291139</v>
      </c>
      <c r="J73" s="15">
        <f>6.4*100/(8+12.9+18.6)</f>
        <v>16.20253165</v>
      </c>
      <c r="K73" s="15">
        <f>4.1*100/(8+12.9+18.6)</f>
        <v>10.37974684</v>
      </c>
      <c r="L73" s="15">
        <v>0.0</v>
      </c>
      <c r="M73" s="15">
        <f>4.8*100/(8+12.9+18.6)</f>
        <v>12.15189873</v>
      </c>
      <c r="N73" s="15">
        <v>0.0</v>
      </c>
      <c r="O73" s="15">
        <f>(6.4+4.1+4.8+0.2)*100/(8+12.9+18.6)</f>
        <v>39.24050633</v>
      </c>
      <c r="P73" s="15">
        <f>2.5*100/(8+12.9+18.6)</f>
        <v>6.329113924</v>
      </c>
      <c r="Q73" s="15">
        <v>0.0</v>
      </c>
      <c r="R73" s="7"/>
      <c r="S73" s="15">
        <f>0.6*100/(8+12.9+18.6)</f>
        <v>1.518987342</v>
      </c>
      <c r="T73" s="7"/>
      <c r="U73" s="15">
        <v>0.0</v>
      </c>
      <c r="V73" s="15">
        <f>(2.5+0.6)*100/(8+12.9+18.6)</f>
        <v>7.848101266</v>
      </c>
    </row>
    <row r="74">
      <c r="A74" s="5" t="s">
        <v>84</v>
      </c>
      <c r="B74" s="6" t="s">
        <v>23</v>
      </c>
      <c r="C74" s="5" t="s">
        <v>24</v>
      </c>
      <c r="D74" s="5" t="s">
        <v>106</v>
      </c>
      <c r="E74" s="5" t="s">
        <v>30</v>
      </c>
      <c r="F74" s="16" t="s">
        <v>103</v>
      </c>
      <c r="G74" s="3" t="s">
        <v>28</v>
      </c>
      <c r="H74" s="7"/>
      <c r="I74" s="7">
        <v>0.0</v>
      </c>
      <c r="J74" s="7">
        <v>9.6</v>
      </c>
      <c r="K74" s="15">
        <v>14.0</v>
      </c>
      <c r="L74" s="15">
        <v>0.4</v>
      </c>
      <c r="M74" s="7">
        <v>1.0</v>
      </c>
      <c r="N74" s="15">
        <v>0.0</v>
      </c>
      <c r="O74" s="7">
        <f>1.2+10.1+9.6+14+0.4+1</f>
        <v>36.3</v>
      </c>
      <c r="P74" s="15">
        <v>1.9</v>
      </c>
      <c r="Q74" s="15">
        <v>0.3</v>
      </c>
      <c r="R74" s="7"/>
      <c r="S74" s="15">
        <v>0.3</v>
      </c>
      <c r="T74" s="7"/>
      <c r="U74" s="15">
        <v>0.0</v>
      </c>
      <c r="V74" s="7">
        <f>3.3+1.9+0.3+0.3</f>
        <v>5.8</v>
      </c>
    </row>
    <row r="75">
      <c r="A75" s="5" t="s">
        <v>84</v>
      </c>
      <c r="B75" s="6" t="s">
        <v>23</v>
      </c>
      <c r="C75" s="5" t="s">
        <v>24</v>
      </c>
      <c r="D75" s="5" t="s">
        <v>107</v>
      </c>
      <c r="E75" s="5" t="s">
        <v>108</v>
      </c>
      <c r="F75" s="13" t="s">
        <v>94</v>
      </c>
      <c r="G75" s="3" t="s">
        <v>28</v>
      </c>
      <c r="H75" s="7"/>
      <c r="I75" s="7">
        <v>4.74</v>
      </c>
      <c r="J75" s="7">
        <v>0.8</v>
      </c>
      <c r="K75" s="15">
        <v>4.22</v>
      </c>
      <c r="L75" s="15">
        <v>0.0</v>
      </c>
      <c r="M75" s="7">
        <v>1.62</v>
      </c>
      <c r="N75" s="15">
        <v>1.04</v>
      </c>
      <c r="O75" s="7">
        <f>0.09+0.8+4.22+3.22+0.56+0.33+1.62+0.02+1.04+4.74</f>
        <v>16.64</v>
      </c>
      <c r="P75" s="15">
        <v>2.52</v>
      </c>
      <c r="Q75" s="15">
        <v>0.0</v>
      </c>
      <c r="R75" s="7"/>
      <c r="S75" s="15">
        <v>0.82</v>
      </c>
      <c r="T75" s="7"/>
      <c r="U75" s="15">
        <v>1.04</v>
      </c>
      <c r="V75" s="7">
        <f>2.52+4.14+0.82</f>
        <v>7.48</v>
      </c>
    </row>
    <row r="76">
      <c r="A76" s="5" t="s">
        <v>84</v>
      </c>
      <c r="B76" s="6" t="s">
        <v>23</v>
      </c>
      <c r="C76" s="5" t="s">
        <v>24</v>
      </c>
      <c r="D76" s="5" t="s">
        <v>109</v>
      </c>
      <c r="E76" s="5" t="s">
        <v>45</v>
      </c>
      <c r="F76" s="13" t="s">
        <v>47</v>
      </c>
      <c r="G76" s="3" t="s">
        <v>28</v>
      </c>
      <c r="H76" s="7"/>
      <c r="I76" s="15">
        <f>0*100/(17+4+33.7)</f>
        <v>0</v>
      </c>
      <c r="J76" s="15">
        <f>12*100/(17+4+33.7)</f>
        <v>21.93784278</v>
      </c>
      <c r="K76" s="15">
        <f>5.1*100/(17+4+33.7)</f>
        <v>9.323583181</v>
      </c>
      <c r="L76" s="15">
        <f>0*100/(17+4+33.7)</f>
        <v>0</v>
      </c>
      <c r="M76" s="15">
        <f>4.4*100/(17+4+33.7)</f>
        <v>8.043875686</v>
      </c>
      <c r="N76" s="15">
        <v>0.0</v>
      </c>
      <c r="O76" s="15">
        <f>(12+5.1+4.4)*100/(17+4+33.7)</f>
        <v>39.30530165</v>
      </c>
      <c r="P76" s="15">
        <f>11.7*100/(17+4+33.7)</f>
        <v>21.38939671</v>
      </c>
      <c r="Q76" s="15">
        <v>0.0</v>
      </c>
      <c r="R76" s="7"/>
      <c r="S76" s="15">
        <f>0.2*100/(17+4+33.7)</f>
        <v>0.365630713</v>
      </c>
      <c r="T76" s="7"/>
      <c r="U76" s="15">
        <f>0.2*100/(17+4+33.7)</f>
        <v>0.365630713</v>
      </c>
      <c r="V76" s="15">
        <f>(11.7+0.1+0.2+0.2)*100/(17+4+33.7)</f>
        <v>22.30347349</v>
      </c>
    </row>
    <row r="77">
      <c r="A77" s="5" t="s">
        <v>84</v>
      </c>
      <c r="B77" s="6" t="s">
        <v>23</v>
      </c>
      <c r="C77" s="5" t="s">
        <v>24</v>
      </c>
      <c r="D77" s="5" t="s">
        <v>110</v>
      </c>
      <c r="E77" s="5" t="s">
        <v>45</v>
      </c>
      <c r="F77" s="13" t="s">
        <v>91</v>
      </c>
      <c r="G77" s="3" t="s">
        <v>28</v>
      </c>
      <c r="H77" s="7"/>
      <c r="I77" s="7">
        <f>13.1*100/95.3</f>
        <v>13.74606506</v>
      </c>
      <c r="J77" s="7">
        <f>6.3*100/95.3</f>
        <v>6.610703043</v>
      </c>
      <c r="K77" s="7">
        <f>21.3*100/95.3</f>
        <v>22.35047219</v>
      </c>
      <c r="L77" s="7">
        <f>0.3*100/95.3</f>
        <v>0.314795383</v>
      </c>
      <c r="M77" s="7">
        <f>12.4*100/95.3</f>
        <v>13.0115425</v>
      </c>
      <c r="N77" s="15">
        <v>0.0</v>
      </c>
      <c r="O77" s="7">
        <f>(6.3+21.3+0.3+12.4+13.1)*100/95.3</f>
        <v>56.03357817</v>
      </c>
      <c r="P77" s="7">
        <f>3.3*100/95.3</f>
        <v>3.462749213</v>
      </c>
      <c r="Q77" s="7">
        <f>1.2*100/95.3</f>
        <v>1.259181532</v>
      </c>
      <c r="R77" s="7"/>
      <c r="S77" s="15">
        <v>0.0</v>
      </c>
      <c r="T77" s="7"/>
      <c r="U77" s="15">
        <v>0.0</v>
      </c>
      <c r="V77" s="7">
        <f>(3.3+1.2)*100/95.3</f>
        <v>4.721930745</v>
      </c>
    </row>
    <row r="78">
      <c r="A78" s="5" t="s">
        <v>84</v>
      </c>
      <c r="B78" s="6" t="s">
        <v>23</v>
      </c>
      <c r="C78" s="5" t="s">
        <v>24</v>
      </c>
      <c r="D78" s="5" t="s">
        <v>110</v>
      </c>
      <c r="E78" s="5" t="s">
        <v>45</v>
      </c>
      <c r="F78" s="13" t="s">
        <v>91</v>
      </c>
      <c r="G78" s="3" t="s">
        <v>28</v>
      </c>
      <c r="H78" s="7"/>
      <c r="I78" s="7">
        <f>13.3*100/144</f>
        <v>9.236111111</v>
      </c>
      <c r="J78" s="7">
        <f>18*100/144</f>
        <v>12.5</v>
      </c>
      <c r="K78" s="7">
        <f>37*100/144</f>
        <v>25.69444444</v>
      </c>
      <c r="L78" s="7">
        <f>0.9*100/144</f>
        <v>0.625</v>
      </c>
      <c r="M78" s="7">
        <f>20.7*100/144</f>
        <v>14.375</v>
      </c>
      <c r="N78" s="15">
        <v>0.0</v>
      </c>
      <c r="O78" s="7">
        <f>(18+37+0.9+20.7+13.3)*100/144</f>
        <v>62.43055556</v>
      </c>
      <c r="P78" s="7">
        <f>6.1*100/144</f>
        <v>4.236111111</v>
      </c>
      <c r="Q78" s="7">
        <f>1.8*100/144</f>
        <v>1.25</v>
      </c>
      <c r="R78" s="7"/>
      <c r="S78" s="15">
        <v>0.0</v>
      </c>
      <c r="T78" s="7"/>
      <c r="U78" s="15">
        <v>0.0</v>
      </c>
      <c r="V78" s="7">
        <f>(6.1+1.8)*100/144</f>
        <v>5.486111111</v>
      </c>
    </row>
    <row r="79">
      <c r="A79" s="5" t="s">
        <v>84</v>
      </c>
      <c r="B79" s="6" t="s">
        <v>23</v>
      </c>
      <c r="C79" s="5" t="s">
        <v>24</v>
      </c>
      <c r="D79" s="5" t="s">
        <v>111</v>
      </c>
      <c r="E79" s="5" t="s">
        <v>45</v>
      </c>
      <c r="F79" s="13" t="s">
        <v>95</v>
      </c>
      <c r="G79" s="3" t="s">
        <v>28</v>
      </c>
      <c r="H79" s="7"/>
      <c r="I79" s="7">
        <f>2.9*100/36.2</f>
        <v>8.011049724</v>
      </c>
      <c r="J79" s="7">
        <f>6.9*100/36.2</f>
        <v>19.06077348</v>
      </c>
      <c r="K79" s="7">
        <f>0.9*100/36.2</f>
        <v>2.486187845</v>
      </c>
      <c r="L79" s="15">
        <v>0.0</v>
      </c>
      <c r="M79" s="7">
        <f>5.8*100/36.2</f>
        <v>16.02209945</v>
      </c>
      <c r="N79" s="15">
        <v>0.0</v>
      </c>
      <c r="O79" s="7">
        <f>(6.9+0.9+5.8+2.9)*100/36.2</f>
        <v>45.5801105</v>
      </c>
      <c r="P79" s="7">
        <f>3.1*100/36.2</f>
        <v>8.563535912</v>
      </c>
      <c r="Q79" s="15">
        <v>0.0</v>
      </c>
      <c r="R79" s="7"/>
      <c r="S79" s="7">
        <f>0.3*100/36.2</f>
        <v>0.8287292818</v>
      </c>
      <c r="T79" s="7"/>
      <c r="U79" s="15">
        <v>0.0</v>
      </c>
      <c r="V79" s="7">
        <f>(3.1+0.3)*100/36.2</f>
        <v>9.392265193</v>
      </c>
    </row>
    <row r="80">
      <c r="A80" s="5" t="s">
        <v>84</v>
      </c>
      <c r="B80" s="6" t="s">
        <v>23</v>
      </c>
      <c r="C80" s="5" t="s">
        <v>24</v>
      </c>
      <c r="D80" s="5" t="s">
        <v>112</v>
      </c>
      <c r="E80" s="5" t="s">
        <v>45</v>
      </c>
      <c r="F80" s="13" t="s">
        <v>86</v>
      </c>
      <c r="G80" s="3" t="s">
        <v>28</v>
      </c>
      <c r="H80" s="10"/>
      <c r="I80" s="14">
        <v>5.7</v>
      </c>
      <c r="J80" s="15">
        <v>11.9</v>
      </c>
      <c r="K80" s="14">
        <v>19.8</v>
      </c>
      <c r="L80" s="14">
        <v>0.9</v>
      </c>
      <c r="M80" s="15">
        <v>10.9</v>
      </c>
      <c r="N80" s="14">
        <v>0.0</v>
      </c>
      <c r="O80" s="14">
        <v>53.9</v>
      </c>
      <c r="P80" s="14">
        <v>11.6</v>
      </c>
      <c r="Q80" s="14">
        <v>3.0</v>
      </c>
      <c r="R80" s="10"/>
      <c r="S80" s="14">
        <v>1.0</v>
      </c>
      <c r="T80" s="10"/>
      <c r="U80" s="10"/>
      <c r="V80" s="14">
        <v>15.6</v>
      </c>
    </row>
    <row r="81">
      <c r="A81" s="5" t="s">
        <v>84</v>
      </c>
      <c r="B81" s="6" t="s">
        <v>23</v>
      </c>
      <c r="C81" s="5" t="s">
        <v>24</v>
      </c>
      <c r="D81" s="5" t="s">
        <v>113</v>
      </c>
      <c r="E81" s="5" t="s">
        <v>114</v>
      </c>
      <c r="F81" s="13" t="s">
        <v>47</v>
      </c>
      <c r="G81" s="3" t="s">
        <v>28</v>
      </c>
      <c r="H81" s="7"/>
      <c r="I81" s="15">
        <f>0*100/(24+1.6+11.9)</f>
        <v>0</v>
      </c>
      <c r="J81" s="15">
        <f>1*100/(24+1.6+11.9)</f>
        <v>2.666666667</v>
      </c>
      <c r="K81" s="15">
        <f t="shared" ref="K81:N81" si="1">0*100/(24+1.6+11.9)</f>
        <v>0</v>
      </c>
      <c r="L81" s="15">
        <f t="shared" si="1"/>
        <v>0</v>
      </c>
      <c r="M81" s="15">
        <f t="shared" si="1"/>
        <v>0</v>
      </c>
      <c r="N81" s="15">
        <f t="shared" si="1"/>
        <v>0</v>
      </c>
      <c r="O81" s="15">
        <f>1*100/(24+1.6+11.9)</f>
        <v>2.666666667</v>
      </c>
      <c r="P81" s="15">
        <f>10.7*100/(24+1.6+11.9)</f>
        <v>28.53333333</v>
      </c>
      <c r="Q81" s="15">
        <f>0*100/(24+1.6+11.9)</f>
        <v>0</v>
      </c>
      <c r="R81" s="7"/>
      <c r="S81" s="15">
        <f>0.1*100/(24+1.6+11.9)</f>
        <v>0.2666666667</v>
      </c>
      <c r="T81" s="7"/>
      <c r="U81" s="15">
        <f>0*100/(24+1.6+11.9)</f>
        <v>0</v>
      </c>
      <c r="V81" s="15">
        <f>(10.7+0.1+0.1)*100/(24+1.6+11.9)</f>
        <v>29.06666667</v>
      </c>
    </row>
    <row r="82">
      <c r="A82" s="5" t="s">
        <v>84</v>
      </c>
      <c r="B82" s="6" t="s">
        <v>23</v>
      </c>
      <c r="C82" s="5" t="s">
        <v>24</v>
      </c>
      <c r="D82" s="5" t="s">
        <v>115</v>
      </c>
      <c r="E82" s="5" t="s">
        <v>114</v>
      </c>
      <c r="F82" s="13" t="s">
        <v>47</v>
      </c>
      <c r="G82" s="3" t="s">
        <v>28</v>
      </c>
      <c r="H82" s="7"/>
      <c r="I82" s="15">
        <f t="shared" ref="I82:Q82" si="2">0*100/(9.7+10.8)</f>
        <v>0</v>
      </c>
      <c r="J82" s="15">
        <f t="shared" si="2"/>
        <v>0</v>
      </c>
      <c r="K82" s="15">
        <f t="shared" si="2"/>
        <v>0</v>
      </c>
      <c r="L82" s="15">
        <f t="shared" si="2"/>
        <v>0</v>
      </c>
      <c r="M82" s="15">
        <f t="shared" si="2"/>
        <v>0</v>
      </c>
      <c r="N82" s="15">
        <f t="shared" si="2"/>
        <v>0</v>
      </c>
      <c r="O82" s="15">
        <f t="shared" si="2"/>
        <v>0</v>
      </c>
      <c r="P82" s="15">
        <f t="shared" si="2"/>
        <v>0</v>
      </c>
      <c r="Q82" s="15">
        <f t="shared" si="2"/>
        <v>0</v>
      </c>
      <c r="R82" s="7"/>
      <c r="S82" s="15">
        <f>0*100/(9.7+10.8)</f>
        <v>0</v>
      </c>
      <c r="T82" s="7"/>
      <c r="U82" s="15">
        <f t="shared" ref="U82:V82" si="3">0*100/(9.7+10.8)</f>
        <v>0</v>
      </c>
      <c r="V82" s="15">
        <f t="shared" si="3"/>
        <v>0</v>
      </c>
    </row>
    <row r="83">
      <c r="A83" s="5" t="s">
        <v>84</v>
      </c>
      <c r="B83" s="6" t="s">
        <v>23</v>
      </c>
      <c r="C83" s="5" t="s">
        <v>24</v>
      </c>
      <c r="D83" s="5" t="s">
        <v>116</v>
      </c>
      <c r="E83" s="5" t="s">
        <v>60</v>
      </c>
      <c r="F83" s="13" t="s">
        <v>95</v>
      </c>
      <c r="G83" s="3" t="s">
        <v>28</v>
      </c>
      <c r="H83" s="7"/>
      <c r="I83" s="7">
        <f>6.2*100/32.8</f>
        <v>18.90243902</v>
      </c>
      <c r="J83" s="7">
        <f>0.7*100/32.8</f>
        <v>2.134146341</v>
      </c>
      <c r="K83" s="15">
        <v>0.0</v>
      </c>
      <c r="L83" s="15">
        <v>0.0</v>
      </c>
      <c r="M83" s="7">
        <f>0.5*100/32.8</f>
        <v>1.524390244</v>
      </c>
      <c r="N83" s="15">
        <v>0.0</v>
      </c>
      <c r="O83" s="7">
        <f>(0.7+8+0.5+6.2)*100/32.8</f>
        <v>46.95121951</v>
      </c>
      <c r="P83" s="7">
        <f>2.2*100/32.8</f>
        <v>6.707317073</v>
      </c>
      <c r="Q83" s="15">
        <v>0.0</v>
      </c>
      <c r="R83" s="7"/>
      <c r="S83" s="15">
        <v>0.0</v>
      </c>
      <c r="T83" s="7"/>
      <c r="U83" s="15">
        <v>0.0</v>
      </c>
      <c r="V83" s="7">
        <f>2.2*100/32.8</f>
        <v>6.707317073</v>
      </c>
    </row>
    <row r="84">
      <c r="A84" s="5" t="s">
        <v>84</v>
      </c>
      <c r="B84" s="6" t="s">
        <v>23</v>
      </c>
      <c r="C84" s="5" t="s">
        <v>24</v>
      </c>
      <c r="D84" s="5" t="s">
        <v>117</v>
      </c>
      <c r="E84" s="5" t="s">
        <v>118</v>
      </c>
      <c r="F84" s="13" t="s">
        <v>47</v>
      </c>
      <c r="G84" s="3" t="s">
        <v>28</v>
      </c>
      <c r="H84" s="7"/>
      <c r="I84" s="15">
        <f>0*100/(37.1+22.8+37.8)</f>
        <v>0</v>
      </c>
      <c r="J84" s="15">
        <f>0.5*100/(37.1+22.8+37.8)</f>
        <v>0.5117707267</v>
      </c>
      <c r="K84" s="15">
        <f t="shared" ref="K84:L84" si="4">0*100/(37.1+22.8+37.8)</f>
        <v>0</v>
      </c>
      <c r="L84" s="15">
        <f t="shared" si="4"/>
        <v>0</v>
      </c>
      <c r="M84" s="15">
        <f>23.4*100/(37.1+22.8+37.8)</f>
        <v>23.95087001</v>
      </c>
      <c r="N84" s="15">
        <f>0*100/(37.1+22.8+37.8)</f>
        <v>0</v>
      </c>
      <c r="O84" s="15">
        <f>(0.5+23.4)*100/(37.1+22.8+37.8)</f>
        <v>24.46264074</v>
      </c>
      <c r="P84" s="15">
        <f>9.7*100/(37.1+22.8+37.8)</f>
        <v>9.928352098</v>
      </c>
      <c r="Q84" s="15">
        <f>0*100/(37.1+22.8+37.8)</f>
        <v>0</v>
      </c>
      <c r="R84" s="7"/>
      <c r="S84" s="15">
        <f>3.7*100/(37.1+22.8+37.8)</f>
        <v>3.787103378</v>
      </c>
      <c r="T84" s="7"/>
      <c r="U84" s="15">
        <f>0*100/(37.1+22.8+37.8)</f>
        <v>0</v>
      </c>
      <c r="V84" s="15">
        <f>(9.7+0.5+3.7)*100/(37.1+22.8+37.8)</f>
        <v>14.2272262</v>
      </c>
    </row>
    <row r="85">
      <c r="A85" s="5" t="s">
        <v>84</v>
      </c>
      <c r="B85" s="6" t="s">
        <v>63</v>
      </c>
      <c r="C85" s="5" t="s">
        <v>24</v>
      </c>
      <c r="D85" s="5" t="s">
        <v>119</v>
      </c>
      <c r="E85" s="5" t="s">
        <v>120</v>
      </c>
      <c r="F85" s="16" t="s">
        <v>103</v>
      </c>
      <c r="G85" s="3" t="s">
        <v>28</v>
      </c>
      <c r="H85" s="7"/>
      <c r="I85" s="7">
        <v>0.0</v>
      </c>
      <c r="J85" s="7">
        <v>5.2</v>
      </c>
      <c r="K85" s="15">
        <v>4.9</v>
      </c>
      <c r="L85" s="15">
        <v>0.1</v>
      </c>
      <c r="M85" s="7">
        <v>4.7</v>
      </c>
      <c r="N85" s="15">
        <v>0.0</v>
      </c>
      <c r="O85" s="7">
        <f>5.2+4.9+0.1+4.7</f>
        <v>14.9</v>
      </c>
      <c r="P85" s="15">
        <v>9.7</v>
      </c>
      <c r="Q85" s="15">
        <v>1.1</v>
      </c>
      <c r="R85" s="7"/>
      <c r="S85" s="15">
        <v>8.7</v>
      </c>
      <c r="T85" s="7"/>
      <c r="U85" s="15">
        <v>0.0</v>
      </c>
      <c r="V85" s="7">
        <f>9.7+1.1+0.4+0.7+8.7</f>
        <v>20.6</v>
      </c>
    </row>
    <row r="86">
      <c r="A86" s="5" t="s">
        <v>84</v>
      </c>
      <c r="B86" s="6" t="s">
        <v>63</v>
      </c>
      <c r="C86" s="5" t="s">
        <v>24</v>
      </c>
      <c r="D86" s="5" t="s">
        <v>121</v>
      </c>
      <c r="E86" s="5" t="s">
        <v>120</v>
      </c>
      <c r="F86" s="16" t="s">
        <v>103</v>
      </c>
      <c r="G86" s="3" t="s">
        <v>28</v>
      </c>
      <c r="H86" s="7"/>
      <c r="I86" s="7">
        <v>0.0</v>
      </c>
      <c r="J86" s="7">
        <v>5.8</v>
      </c>
      <c r="K86" s="15">
        <v>6.3</v>
      </c>
      <c r="L86" s="15">
        <v>6.6</v>
      </c>
      <c r="M86" s="7">
        <v>3.6</v>
      </c>
      <c r="N86" s="15">
        <v>0.0</v>
      </c>
      <c r="O86" s="7">
        <f>5.8+6.3+6.6+3.6</f>
        <v>22.3</v>
      </c>
      <c r="P86" s="15">
        <v>5.2</v>
      </c>
      <c r="Q86" s="15">
        <v>1.5</v>
      </c>
      <c r="R86" s="7"/>
      <c r="S86" s="15">
        <v>11.5</v>
      </c>
      <c r="T86" s="7"/>
      <c r="U86" s="15">
        <v>0.0</v>
      </c>
      <c r="V86" s="7">
        <f>5.2+1.5+0.2+1.2+11.5</f>
        <v>19.6</v>
      </c>
    </row>
    <row r="87">
      <c r="A87" s="5" t="s">
        <v>84</v>
      </c>
      <c r="B87" s="6" t="s">
        <v>63</v>
      </c>
      <c r="C87" s="5" t="s">
        <v>24</v>
      </c>
      <c r="D87" s="5" t="s">
        <v>122</v>
      </c>
      <c r="E87" s="5" t="s">
        <v>120</v>
      </c>
      <c r="F87" s="16" t="s">
        <v>103</v>
      </c>
      <c r="G87" s="3" t="s">
        <v>28</v>
      </c>
      <c r="H87" s="7"/>
      <c r="I87" s="7">
        <v>0.0</v>
      </c>
      <c r="J87" s="7">
        <v>7.9</v>
      </c>
      <c r="K87" s="15">
        <v>19.8</v>
      </c>
      <c r="L87" s="15">
        <v>0.4</v>
      </c>
      <c r="M87" s="7">
        <v>8.3</v>
      </c>
      <c r="N87" s="15">
        <v>0.0</v>
      </c>
      <c r="O87" s="7">
        <f>7.9+19.8+0.4+8.3</f>
        <v>36.4</v>
      </c>
      <c r="P87" s="15">
        <v>5.8</v>
      </c>
      <c r="Q87" s="15">
        <v>0.9</v>
      </c>
      <c r="R87" s="7"/>
      <c r="S87" s="15">
        <v>8.0</v>
      </c>
      <c r="T87" s="7"/>
      <c r="U87" s="15">
        <v>0.0</v>
      </c>
      <c r="V87" s="7">
        <f>5.8+0.9+0.4+8</f>
        <v>15.1</v>
      </c>
    </row>
    <row r="88">
      <c r="A88" s="5" t="s">
        <v>84</v>
      </c>
      <c r="B88" s="6" t="s">
        <v>63</v>
      </c>
      <c r="C88" s="5" t="s">
        <v>24</v>
      </c>
      <c r="D88" s="5" t="s">
        <v>123</v>
      </c>
      <c r="E88" s="5" t="s">
        <v>120</v>
      </c>
      <c r="F88" s="16" t="s">
        <v>103</v>
      </c>
      <c r="G88" s="3" t="s">
        <v>28</v>
      </c>
      <c r="H88" s="7"/>
      <c r="I88" s="7">
        <v>0.0</v>
      </c>
      <c r="J88" s="7">
        <v>3.6</v>
      </c>
      <c r="K88" s="15">
        <v>8.5</v>
      </c>
      <c r="L88" s="15">
        <v>0.3</v>
      </c>
      <c r="M88" s="7">
        <v>6.2</v>
      </c>
      <c r="N88" s="15">
        <v>0.0</v>
      </c>
      <c r="O88" s="7">
        <f>3.6+8.5+0.3+6.2</f>
        <v>18.6</v>
      </c>
      <c r="P88" s="15">
        <v>6.8</v>
      </c>
      <c r="Q88" s="15">
        <v>1.2</v>
      </c>
      <c r="R88" s="7"/>
      <c r="S88" s="15">
        <v>13.7</v>
      </c>
      <c r="T88" s="7"/>
      <c r="U88" s="15">
        <v>0.0</v>
      </c>
      <c r="V88" s="7">
        <f>6.8+1.2+0.1+0.6+13.7</f>
        <v>22.4</v>
      </c>
    </row>
    <row r="89">
      <c r="A89" s="5" t="s">
        <v>84</v>
      </c>
      <c r="B89" s="6" t="s">
        <v>63</v>
      </c>
      <c r="C89" s="5" t="s">
        <v>24</v>
      </c>
      <c r="D89" s="5" t="s">
        <v>124</v>
      </c>
      <c r="E89" s="5" t="s">
        <v>120</v>
      </c>
      <c r="F89" s="16" t="s">
        <v>103</v>
      </c>
      <c r="G89" s="3" t="s">
        <v>28</v>
      </c>
      <c r="H89" s="7"/>
      <c r="I89" s="7">
        <v>0.0</v>
      </c>
      <c r="J89" s="7">
        <v>10.3</v>
      </c>
      <c r="K89" s="15">
        <v>21.1</v>
      </c>
      <c r="L89" s="15">
        <v>0.8</v>
      </c>
      <c r="M89" s="7">
        <v>8.2</v>
      </c>
      <c r="N89" s="15">
        <v>0.0</v>
      </c>
      <c r="O89" s="7">
        <f>10.3+21.1+0.8+8.2</f>
        <v>40.4</v>
      </c>
      <c r="P89" s="15">
        <v>7.3</v>
      </c>
      <c r="Q89" s="15">
        <v>1.2</v>
      </c>
      <c r="R89" s="7"/>
      <c r="S89" s="15">
        <v>17.5</v>
      </c>
      <c r="T89" s="7"/>
      <c r="U89" s="15">
        <v>0.0</v>
      </c>
      <c r="V89" s="7">
        <f>7.3+1.2+0.2+1+17.5</f>
        <v>27.2</v>
      </c>
    </row>
    <row r="90">
      <c r="A90" s="5" t="s">
        <v>84</v>
      </c>
      <c r="B90" s="6" t="s">
        <v>23</v>
      </c>
      <c r="C90" s="5" t="s">
        <v>24</v>
      </c>
      <c r="D90" s="5" t="s">
        <v>75</v>
      </c>
      <c r="E90" s="5" t="s">
        <v>125</v>
      </c>
      <c r="F90" s="13" t="s">
        <v>47</v>
      </c>
      <c r="G90" s="3" t="s">
        <v>28</v>
      </c>
      <c r="H90" s="7"/>
      <c r="I90" s="15">
        <f>15.8*100/(20.4+17+39.9)</f>
        <v>20.43984476</v>
      </c>
      <c r="J90" s="15">
        <f>3.8*100/(20.4+17+39.9)</f>
        <v>4.915912031</v>
      </c>
      <c r="K90" s="15">
        <f>12.5*100/(20.4+17+39.9)</f>
        <v>16.17076326</v>
      </c>
      <c r="L90" s="15">
        <v>0.0</v>
      </c>
      <c r="M90" s="15">
        <f>0.8*100/(20.4+17+39.9)</f>
        <v>1.034928849</v>
      </c>
      <c r="N90" s="15">
        <v>0.0</v>
      </c>
      <c r="O90" s="15">
        <f>(3.8+12.5+0.8+15.8)*100/(20.4+17+39.9)</f>
        <v>42.5614489</v>
      </c>
      <c r="P90" s="15">
        <f>7*100/(20.4+17+39.9)</f>
        <v>9.055627426</v>
      </c>
      <c r="Q90" s="15">
        <v>0.0</v>
      </c>
      <c r="R90" s="7"/>
      <c r="S90" s="15">
        <v>0.0</v>
      </c>
      <c r="T90" s="7"/>
      <c r="U90" s="15">
        <v>0.0</v>
      </c>
      <c r="V90" s="15">
        <f>7*100/(20.4+17+39.9)</f>
        <v>9.055627426</v>
      </c>
    </row>
    <row r="91">
      <c r="A91" s="5" t="s">
        <v>84</v>
      </c>
      <c r="B91" s="6" t="s">
        <v>23</v>
      </c>
      <c r="C91" s="5" t="s">
        <v>24</v>
      </c>
      <c r="D91" s="5" t="s">
        <v>126</v>
      </c>
      <c r="E91" s="5" t="s">
        <v>125</v>
      </c>
      <c r="F91" s="13" t="s">
        <v>47</v>
      </c>
      <c r="G91" s="3" t="s">
        <v>28</v>
      </c>
      <c r="H91" s="7"/>
      <c r="I91" s="15">
        <f>13.2*100/(21.3+16.5+39.8)</f>
        <v>17.01030928</v>
      </c>
      <c r="J91" s="15">
        <f>1.8*100/(21.3+16.5+39.8)</f>
        <v>2.319587629</v>
      </c>
      <c r="K91" s="15">
        <f>4.3*100/(21.3+16.5+39.8)</f>
        <v>5.541237113</v>
      </c>
      <c r="L91" s="15">
        <v>0.0</v>
      </c>
      <c r="M91" s="15">
        <f>18*100/(21.3+16.5+39.8)</f>
        <v>23.19587629</v>
      </c>
      <c r="N91" s="15">
        <v>0.0</v>
      </c>
      <c r="O91" s="15">
        <f>(1.8+4.3+18+13.2)*100/(21.3+16.5+39.8)</f>
        <v>48.06701031</v>
      </c>
      <c r="P91" s="15">
        <f>2.1*100/(21.3+16.5+39.8)</f>
        <v>2.706185567</v>
      </c>
      <c r="Q91" s="15">
        <v>0.0</v>
      </c>
      <c r="R91" s="7"/>
      <c r="S91" s="15">
        <f>0.4*100/(21.3+16.5+39.8)</f>
        <v>0.5154639175</v>
      </c>
      <c r="T91" s="7"/>
      <c r="U91" s="15">
        <v>0.0</v>
      </c>
      <c r="V91" s="15">
        <f>(2.1+0.4)*100/(21.3+16.5+39.8)</f>
        <v>3.221649485</v>
      </c>
    </row>
    <row r="92">
      <c r="A92" s="5" t="s">
        <v>84</v>
      </c>
      <c r="B92" s="6" t="s">
        <v>23</v>
      </c>
      <c r="C92" s="5" t="s">
        <v>24</v>
      </c>
      <c r="D92" s="5" t="s">
        <v>127</v>
      </c>
      <c r="E92" s="5" t="s">
        <v>125</v>
      </c>
      <c r="F92" s="13" t="s">
        <v>86</v>
      </c>
      <c r="G92" s="3" t="s">
        <v>28</v>
      </c>
      <c r="H92" s="10"/>
      <c r="I92" s="10">
        <v>8.3</v>
      </c>
      <c r="J92" s="9">
        <v>3.6</v>
      </c>
      <c r="K92" s="14">
        <v>17.4</v>
      </c>
      <c r="L92" s="14">
        <v>0.0</v>
      </c>
      <c r="M92" s="10">
        <v>0.2</v>
      </c>
      <c r="N92" s="14">
        <v>0.0</v>
      </c>
      <c r="O92" s="10">
        <f>3.6+17.4+2.5+0.2+8.3</f>
        <v>32</v>
      </c>
      <c r="P92" s="14">
        <v>2.5</v>
      </c>
      <c r="Q92" s="14">
        <v>2.4</v>
      </c>
      <c r="R92" s="10"/>
      <c r="S92" s="14">
        <v>0.0</v>
      </c>
      <c r="T92" s="10"/>
      <c r="U92" s="14">
        <v>1.8</v>
      </c>
      <c r="V92" s="10">
        <f>2.5+2.4+1.8</f>
        <v>6.7</v>
      </c>
    </row>
    <row r="93">
      <c r="A93" s="5" t="s">
        <v>84</v>
      </c>
      <c r="B93" s="6" t="s">
        <v>23</v>
      </c>
      <c r="C93" s="5" t="s">
        <v>24</v>
      </c>
      <c r="D93" s="5" t="s">
        <v>75</v>
      </c>
      <c r="E93" s="5" t="s">
        <v>125</v>
      </c>
      <c r="F93" s="13" t="s">
        <v>91</v>
      </c>
      <c r="G93" s="3" t="s">
        <v>28</v>
      </c>
      <c r="H93" s="7"/>
      <c r="I93" s="7">
        <f>12.6*100/129</f>
        <v>9.76744186</v>
      </c>
      <c r="J93" s="7">
        <f>2.1*100/129</f>
        <v>1.627906977</v>
      </c>
      <c r="K93" s="7">
        <f>7*100/129</f>
        <v>5.426356589</v>
      </c>
      <c r="L93" s="15">
        <v>0.0</v>
      </c>
      <c r="M93" s="7">
        <f>10.1*100/129</f>
        <v>7.829457364</v>
      </c>
      <c r="N93" s="15">
        <v>0.0</v>
      </c>
      <c r="O93" s="7">
        <f>(2.1+7+0.7+6.3+10.1+12.6)*100/129</f>
        <v>30.07751938</v>
      </c>
      <c r="P93" s="7">
        <f>11.5*100/129</f>
        <v>8.914728682</v>
      </c>
      <c r="Q93" s="7">
        <f>1.5*100/129</f>
        <v>1.162790698</v>
      </c>
      <c r="R93" s="7"/>
      <c r="S93" s="15">
        <v>0.0</v>
      </c>
      <c r="T93" s="7"/>
      <c r="U93" s="15">
        <v>0.0</v>
      </c>
      <c r="V93" s="7">
        <f t="shared" ref="V93:V94" si="5">P93+Q93</f>
        <v>10.07751938</v>
      </c>
    </row>
    <row r="94">
      <c r="A94" s="5" t="s">
        <v>84</v>
      </c>
      <c r="B94" s="6" t="s">
        <v>23</v>
      </c>
      <c r="C94" s="5" t="s">
        <v>24</v>
      </c>
      <c r="D94" s="5" t="s">
        <v>75</v>
      </c>
      <c r="E94" s="5" t="s">
        <v>125</v>
      </c>
      <c r="F94" s="13" t="s">
        <v>91</v>
      </c>
      <c r="G94" s="3" t="s">
        <v>28</v>
      </c>
      <c r="H94" s="7"/>
      <c r="I94" s="7">
        <f>27*100/174</f>
        <v>15.51724138</v>
      </c>
      <c r="J94" s="7">
        <f>7.2*100/174</f>
        <v>4.137931034</v>
      </c>
      <c r="K94" s="7">
        <f>13.9*100/174</f>
        <v>7.988505747</v>
      </c>
      <c r="L94" s="15">
        <v>0.0</v>
      </c>
      <c r="M94" s="7">
        <f>8.1*100/174</f>
        <v>4.655172414</v>
      </c>
      <c r="N94" s="15">
        <v>0.0</v>
      </c>
      <c r="O94" s="7">
        <f>(7.2+13.9+5.6+8.1+27)*100/174</f>
        <v>35.51724138</v>
      </c>
      <c r="P94" s="7">
        <f>12.9*100/174</f>
        <v>7.413793103</v>
      </c>
      <c r="Q94" s="7">
        <f>1.5*100/174</f>
        <v>0.8620689655</v>
      </c>
      <c r="R94" s="7"/>
      <c r="S94" s="15">
        <v>0.0</v>
      </c>
      <c r="T94" s="7"/>
      <c r="U94" s="15">
        <v>0.0</v>
      </c>
      <c r="V94" s="7">
        <f t="shared" si="5"/>
        <v>8.275862069</v>
      </c>
    </row>
    <row r="95">
      <c r="A95" s="5" t="s">
        <v>84</v>
      </c>
      <c r="B95" s="6" t="s">
        <v>23</v>
      </c>
      <c r="C95" s="5" t="s">
        <v>24</v>
      </c>
      <c r="D95" s="5" t="s">
        <v>128</v>
      </c>
      <c r="E95" s="5" t="s">
        <v>125</v>
      </c>
      <c r="F95" s="13" t="s">
        <v>94</v>
      </c>
      <c r="G95" s="3" t="s">
        <v>28</v>
      </c>
      <c r="H95" s="7"/>
      <c r="I95" s="7">
        <v>7.69</v>
      </c>
      <c r="J95" s="7">
        <v>3.22</v>
      </c>
      <c r="K95" s="15">
        <v>14.21</v>
      </c>
      <c r="L95" s="15">
        <v>0.08</v>
      </c>
      <c r="M95" s="7">
        <v>1.01</v>
      </c>
      <c r="N95" s="15">
        <v>0.16</v>
      </c>
      <c r="O95" s="7">
        <f>0.06+3.22+14.21+8.22+0.56+0.08+1.01+0.02+0.16+7.69</f>
        <v>35.23</v>
      </c>
      <c r="P95" s="15">
        <v>3.82</v>
      </c>
      <c r="Q95" s="15">
        <v>0.0</v>
      </c>
      <c r="R95" s="7"/>
      <c r="S95" s="15">
        <v>0.17</v>
      </c>
      <c r="T95" s="7"/>
      <c r="U95" s="15">
        <v>0.0</v>
      </c>
      <c r="V95" s="7">
        <f>3.82+0.24+0.04+0.17</f>
        <v>4.27</v>
      </c>
    </row>
    <row r="96">
      <c r="A96" s="5" t="s">
        <v>84</v>
      </c>
      <c r="B96" s="6" t="s">
        <v>23</v>
      </c>
      <c r="C96" s="5" t="s">
        <v>24</v>
      </c>
      <c r="D96" s="5" t="s">
        <v>129</v>
      </c>
      <c r="E96" s="5" t="s">
        <v>125</v>
      </c>
      <c r="F96" s="13" t="s">
        <v>86</v>
      </c>
      <c r="G96" s="3" t="s">
        <v>28</v>
      </c>
      <c r="H96" s="10"/>
      <c r="I96" s="10">
        <v>9.4</v>
      </c>
      <c r="J96" s="9">
        <v>1.8</v>
      </c>
      <c r="K96" s="14">
        <v>6.0</v>
      </c>
      <c r="L96" s="14">
        <v>0.0</v>
      </c>
      <c r="M96" s="10">
        <v>19.7</v>
      </c>
      <c r="N96" s="14">
        <v>0.0</v>
      </c>
      <c r="O96" s="10">
        <f>1.8+6+19.7</f>
        <v>27.5</v>
      </c>
      <c r="P96" s="14">
        <v>1.5</v>
      </c>
      <c r="Q96" s="14">
        <v>0.4</v>
      </c>
      <c r="R96" s="10"/>
      <c r="S96" s="14">
        <v>0.0</v>
      </c>
      <c r="T96" s="10"/>
      <c r="U96" s="14">
        <v>2.0</v>
      </c>
      <c r="V96" s="10">
        <f>1.5+0.4+2</f>
        <v>3.9</v>
      </c>
    </row>
    <row r="97">
      <c r="A97" s="5" t="s">
        <v>84</v>
      </c>
      <c r="B97" s="6" t="s">
        <v>63</v>
      </c>
      <c r="C97" s="5" t="s">
        <v>24</v>
      </c>
      <c r="D97" s="5" t="s">
        <v>130</v>
      </c>
      <c r="E97" s="5" t="s">
        <v>131</v>
      </c>
      <c r="F97" s="16" t="s">
        <v>103</v>
      </c>
      <c r="G97" s="3" t="s">
        <v>28</v>
      </c>
      <c r="H97" s="7"/>
      <c r="I97" s="7">
        <v>0.3</v>
      </c>
      <c r="J97" s="7">
        <v>1.1</v>
      </c>
      <c r="K97" s="15">
        <v>0.7</v>
      </c>
      <c r="L97" s="15">
        <v>0.0</v>
      </c>
      <c r="M97" s="7">
        <v>18.7</v>
      </c>
      <c r="N97" s="15">
        <v>0.0</v>
      </c>
      <c r="O97" s="7">
        <f>1.1+0.7+18.7+0.3</f>
        <v>20.8</v>
      </c>
      <c r="P97" s="15">
        <v>1.5</v>
      </c>
      <c r="Q97" s="15">
        <v>0.5</v>
      </c>
      <c r="R97" s="7"/>
      <c r="S97" s="15">
        <v>22.5</v>
      </c>
      <c r="T97" s="7"/>
      <c r="U97" s="15">
        <v>0.0</v>
      </c>
      <c r="V97" s="7">
        <f>1.5+0.5+0.5+22.5</f>
        <v>25</v>
      </c>
    </row>
    <row r="98">
      <c r="A98" s="5" t="s">
        <v>84</v>
      </c>
      <c r="B98" s="6" t="s">
        <v>63</v>
      </c>
      <c r="C98" s="5" t="s">
        <v>24</v>
      </c>
      <c r="D98" s="5" t="s">
        <v>132</v>
      </c>
      <c r="E98" s="5" t="s">
        <v>131</v>
      </c>
      <c r="F98" s="16" t="s">
        <v>103</v>
      </c>
      <c r="G98" s="3" t="s">
        <v>28</v>
      </c>
      <c r="H98" s="7"/>
      <c r="I98" s="7">
        <v>0.2</v>
      </c>
      <c r="J98" s="7">
        <v>0.5</v>
      </c>
      <c r="K98" s="15">
        <v>0.7</v>
      </c>
      <c r="L98" s="15">
        <v>0.0</v>
      </c>
      <c r="M98" s="7">
        <v>25.8</v>
      </c>
      <c r="N98" s="15">
        <v>0.2</v>
      </c>
      <c r="O98">
        <f>0.5+0.7+25.8+0.2+0.2</f>
        <v>27.4</v>
      </c>
      <c r="P98" s="15">
        <v>1.1</v>
      </c>
      <c r="Q98" s="15">
        <v>0.5</v>
      </c>
      <c r="R98" s="7"/>
      <c r="S98" s="15">
        <v>5.3</v>
      </c>
      <c r="T98" s="7"/>
      <c r="U98" s="15">
        <v>0.0</v>
      </c>
      <c r="V98" s="7">
        <f>1.1+0.5+0.7+5.3</f>
        <v>7.6</v>
      </c>
    </row>
    <row r="99">
      <c r="A99" s="5" t="s">
        <v>84</v>
      </c>
      <c r="B99" s="6" t="s">
        <v>63</v>
      </c>
      <c r="C99" s="5" t="s">
        <v>24</v>
      </c>
      <c r="D99" s="5" t="s">
        <v>133</v>
      </c>
      <c r="E99" s="5" t="s">
        <v>131</v>
      </c>
      <c r="F99" s="16" t="s">
        <v>103</v>
      </c>
      <c r="G99" s="3" t="s">
        <v>28</v>
      </c>
      <c r="H99" s="7"/>
      <c r="I99" s="7">
        <v>0.5</v>
      </c>
      <c r="J99" s="7">
        <v>1.0</v>
      </c>
      <c r="K99" s="15">
        <v>1.8</v>
      </c>
      <c r="L99" s="15">
        <v>0.2</v>
      </c>
      <c r="M99" s="7">
        <v>46.6</v>
      </c>
      <c r="N99" s="15">
        <v>0.2</v>
      </c>
      <c r="O99" s="7">
        <f>1+1.8+0.2+46.6+0.2+0.5</f>
        <v>50.3</v>
      </c>
      <c r="P99" s="15">
        <v>1.1</v>
      </c>
      <c r="Q99" s="15">
        <v>0.3</v>
      </c>
      <c r="R99" s="7"/>
      <c r="S99" s="15">
        <v>1.4</v>
      </c>
      <c r="T99" s="7"/>
      <c r="U99" s="15">
        <v>0.0</v>
      </c>
      <c r="V99" s="7">
        <f>1.1+0.3+0.1+1.4</f>
        <v>2.9</v>
      </c>
    </row>
    <row r="100">
      <c r="A100" s="5" t="s">
        <v>84</v>
      </c>
      <c r="B100" s="6" t="s">
        <v>63</v>
      </c>
      <c r="C100" s="5" t="s">
        <v>24</v>
      </c>
      <c r="D100" s="5" t="s">
        <v>134</v>
      </c>
      <c r="E100" s="5" t="s">
        <v>131</v>
      </c>
      <c r="F100" s="16" t="s">
        <v>103</v>
      </c>
      <c r="G100" s="3" t="s">
        <v>28</v>
      </c>
      <c r="H100" s="7"/>
      <c r="I100" s="7">
        <v>0.0</v>
      </c>
      <c r="J100" s="7">
        <v>0.2</v>
      </c>
      <c r="K100" s="7"/>
      <c r="L100" s="7"/>
      <c r="M100" s="7">
        <v>48.0</v>
      </c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5" t="s">
        <v>84</v>
      </c>
      <c r="B101" s="6" t="s">
        <v>63</v>
      </c>
      <c r="C101" s="5" t="s">
        <v>24</v>
      </c>
      <c r="D101" s="5" t="s">
        <v>135</v>
      </c>
      <c r="E101" s="5" t="s">
        <v>131</v>
      </c>
      <c r="F101" s="13" t="s">
        <v>47</v>
      </c>
      <c r="G101" s="3" t="s">
        <v>28</v>
      </c>
      <c r="H101" s="7"/>
      <c r="I101" s="7">
        <v>0.0</v>
      </c>
      <c r="J101" s="9">
        <v>0.0</v>
      </c>
      <c r="K101" s="15">
        <v>0.0</v>
      </c>
      <c r="L101" s="10">
        <f>0*100/(14.5+0.1+6.1)</f>
        <v>0</v>
      </c>
      <c r="M101" s="10">
        <f>6.1*100/(14.5+0.1+6.1)</f>
        <v>29.46859903</v>
      </c>
      <c r="N101" s="10">
        <f>0*100/(14.5+0.1+6.1)</f>
        <v>0</v>
      </c>
      <c r="O101" s="10">
        <f>6.1*100/(14.5+0.1+6.1)</f>
        <v>29.46859903</v>
      </c>
      <c r="P101" s="10">
        <f>2.1*100/(14.5+0.1+6.1)</f>
        <v>10.14492754</v>
      </c>
      <c r="Q101" s="10">
        <f>0*100/(14.5+0.1+6.1)</f>
        <v>0</v>
      </c>
      <c r="R101" s="7"/>
      <c r="S101" s="10">
        <f>6*100/(14.5+0.1+6.1)</f>
        <v>28.98550725</v>
      </c>
      <c r="T101" s="10"/>
      <c r="U101" s="10">
        <f>0*100/(14.5+0.1+6.1)</f>
        <v>0</v>
      </c>
      <c r="V101" s="10">
        <f>(2.1+0.3+6)*100/(14.5+0.1+6.1)</f>
        <v>40.57971014</v>
      </c>
    </row>
    <row r="102">
      <c r="A102" s="5" t="s">
        <v>84</v>
      </c>
      <c r="B102" s="6" t="s">
        <v>23</v>
      </c>
      <c r="C102" s="5" t="s">
        <v>24</v>
      </c>
      <c r="D102" s="5" t="s">
        <v>136</v>
      </c>
      <c r="E102" s="5" t="s">
        <v>137</v>
      </c>
      <c r="F102" s="13" t="s">
        <v>95</v>
      </c>
      <c r="G102" s="3" t="s">
        <v>28</v>
      </c>
      <c r="H102" s="7"/>
      <c r="I102" s="7">
        <v>0.0</v>
      </c>
      <c r="J102" s="7">
        <v>0.0</v>
      </c>
      <c r="K102" s="7">
        <f>3.6*100/79.4</f>
        <v>4.534005038</v>
      </c>
      <c r="L102" s="15">
        <v>0.0</v>
      </c>
      <c r="M102" s="7">
        <v>0.0</v>
      </c>
      <c r="N102" s="15">
        <v>0.0</v>
      </c>
      <c r="O102" s="7">
        <f>3.6*100/79.4</f>
        <v>4.534005038</v>
      </c>
      <c r="P102" s="7">
        <f>8.6*100/79.4</f>
        <v>10.83123426</v>
      </c>
      <c r="Q102" s="15">
        <v>0.0</v>
      </c>
      <c r="R102" s="7"/>
      <c r="S102" s="15">
        <v>0.0</v>
      </c>
      <c r="T102" s="7"/>
      <c r="U102" s="15">
        <v>0.0</v>
      </c>
      <c r="V102" s="7">
        <f>P102</f>
        <v>10.83123426</v>
      </c>
    </row>
    <row r="103">
      <c r="A103" s="6" t="s">
        <v>84</v>
      </c>
      <c r="B103" s="6" t="s">
        <v>23</v>
      </c>
      <c r="C103" s="3" t="s">
        <v>138</v>
      </c>
      <c r="D103" s="6" t="s">
        <v>139</v>
      </c>
      <c r="E103" s="5"/>
      <c r="F103" s="17" t="s">
        <v>140</v>
      </c>
      <c r="G103" s="6" t="s">
        <v>140</v>
      </c>
      <c r="H103" s="6" t="s">
        <v>141</v>
      </c>
      <c r="I103" s="18">
        <v>33.6</v>
      </c>
      <c r="J103" s="18">
        <v>3.03</v>
      </c>
      <c r="K103" s="18"/>
      <c r="L103" s="18"/>
      <c r="M103" s="18">
        <v>20.8</v>
      </c>
      <c r="N103" s="18">
        <v>0.76</v>
      </c>
      <c r="O103" s="18">
        <v>63.7</v>
      </c>
      <c r="P103" s="18"/>
      <c r="Q103" s="18"/>
      <c r="R103" s="18"/>
      <c r="S103" s="18">
        <v>0.79</v>
      </c>
      <c r="T103" s="18"/>
      <c r="U103" s="18"/>
      <c r="V103" s="18">
        <v>2.24</v>
      </c>
    </row>
    <row r="104">
      <c r="A104" s="6" t="s">
        <v>84</v>
      </c>
      <c r="B104" s="6" t="s">
        <v>23</v>
      </c>
      <c r="C104" s="3" t="s">
        <v>138</v>
      </c>
      <c r="D104" s="6" t="s">
        <v>142</v>
      </c>
      <c r="E104" s="5"/>
      <c r="F104" s="17" t="s">
        <v>143</v>
      </c>
      <c r="G104" s="6" t="s">
        <v>143</v>
      </c>
      <c r="H104" s="6" t="s">
        <v>141</v>
      </c>
      <c r="I104" s="18">
        <v>9.3</v>
      </c>
      <c r="J104" s="18">
        <v>1.2</v>
      </c>
      <c r="K104" s="18">
        <v>5.4</v>
      </c>
      <c r="L104" s="18"/>
      <c r="M104" s="18">
        <v>9.3</v>
      </c>
      <c r="N104" s="18">
        <v>1.0</v>
      </c>
      <c r="O104" s="18">
        <v>34.1</v>
      </c>
      <c r="P104" s="18">
        <v>1.2</v>
      </c>
      <c r="Q104" s="18"/>
      <c r="R104" s="18"/>
      <c r="S104" s="18">
        <v>0.2</v>
      </c>
      <c r="T104" s="18"/>
      <c r="U104" s="18"/>
      <c r="V104" s="18">
        <v>4.9</v>
      </c>
    </row>
    <row r="105">
      <c r="A105" s="6" t="s">
        <v>84</v>
      </c>
      <c r="B105" s="6" t="s">
        <v>23</v>
      </c>
      <c r="C105" s="3" t="s">
        <v>138</v>
      </c>
      <c r="D105" s="6" t="s">
        <v>144</v>
      </c>
      <c r="E105" s="5"/>
      <c r="F105" s="17" t="s">
        <v>145</v>
      </c>
      <c r="G105" s="6" t="s">
        <v>145</v>
      </c>
      <c r="H105" s="6" t="s">
        <v>141</v>
      </c>
      <c r="I105" s="18">
        <v>34.4</v>
      </c>
      <c r="J105" s="18">
        <v>1.9</v>
      </c>
      <c r="K105" s="18">
        <v>2.3</v>
      </c>
      <c r="L105" s="18"/>
      <c r="M105" s="18">
        <v>17.4</v>
      </c>
      <c r="N105" s="18"/>
      <c r="O105" s="18"/>
      <c r="P105" s="18">
        <v>1.5</v>
      </c>
      <c r="Q105" s="18"/>
      <c r="R105" s="18"/>
      <c r="S105" s="18">
        <v>0.8</v>
      </c>
      <c r="T105" s="18"/>
      <c r="U105" s="18"/>
      <c r="V105" s="18"/>
    </row>
    <row r="106">
      <c r="A106" s="6" t="s">
        <v>84</v>
      </c>
      <c r="B106" s="6" t="s">
        <v>23</v>
      </c>
      <c r="C106" s="3" t="s">
        <v>138</v>
      </c>
      <c r="D106" s="6" t="s">
        <v>144</v>
      </c>
      <c r="E106" s="5"/>
      <c r="F106" s="17" t="s">
        <v>145</v>
      </c>
      <c r="G106" s="6" t="s">
        <v>145</v>
      </c>
      <c r="H106" s="6" t="s">
        <v>141</v>
      </c>
      <c r="I106" s="18">
        <v>32.9</v>
      </c>
      <c r="J106" s="18">
        <v>2.4</v>
      </c>
      <c r="K106" s="18">
        <v>4.1</v>
      </c>
      <c r="L106" s="18"/>
      <c r="M106" s="18">
        <v>16.2</v>
      </c>
      <c r="N106" s="18"/>
      <c r="O106" s="18"/>
      <c r="P106" s="18">
        <v>2.3</v>
      </c>
      <c r="Q106" s="18"/>
      <c r="R106" s="18"/>
      <c r="S106" s="18">
        <v>0.9</v>
      </c>
      <c r="T106" s="18"/>
      <c r="U106" s="18"/>
      <c r="V106" s="18"/>
    </row>
    <row r="107">
      <c r="A107" s="6" t="s">
        <v>84</v>
      </c>
      <c r="B107" s="6" t="s">
        <v>23</v>
      </c>
      <c r="C107" s="3" t="s">
        <v>138</v>
      </c>
      <c r="D107" s="6" t="s">
        <v>144</v>
      </c>
      <c r="E107" s="5"/>
      <c r="F107" s="17" t="s">
        <v>145</v>
      </c>
      <c r="G107" s="6" t="s">
        <v>145</v>
      </c>
      <c r="H107" s="6" t="s">
        <v>141</v>
      </c>
      <c r="I107" s="18">
        <v>40.5</v>
      </c>
      <c r="J107" s="18">
        <v>1.5</v>
      </c>
      <c r="K107" s="18">
        <v>4.5</v>
      </c>
      <c r="L107" s="18"/>
      <c r="M107" s="18">
        <v>16.3</v>
      </c>
      <c r="N107" s="18"/>
      <c r="O107" s="18"/>
      <c r="P107" s="18">
        <v>1.5</v>
      </c>
      <c r="Q107" s="18"/>
      <c r="R107" s="18"/>
      <c r="S107" s="18">
        <v>0.6</v>
      </c>
      <c r="T107" s="18"/>
      <c r="U107" s="18"/>
      <c r="V107" s="18"/>
    </row>
    <row r="108">
      <c r="A108" s="6" t="s">
        <v>84</v>
      </c>
      <c r="B108" s="6" t="s">
        <v>63</v>
      </c>
      <c r="C108" s="3" t="s">
        <v>138</v>
      </c>
      <c r="D108" s="6" t="s">
        <v>146</v>
      </c>
      <c r="E108" s="5"/>
      <c r="F108" s="17" t="s">
        <v>147</v>
      </c>
      <c r="G108" s="6" t="s">
        <v>147</v>
      </c>
      <c r="H108" s="6" t="s">
        <v>148</v>
      </c>
      <c r="I108" s="18">
        <v>3.94</v>
      </c>
      <c r="J108" s="18">
        <v>2.89</v>
      </c>
      <c r="K108" s="18">
        <v>0.0</v>
      </c>
      <c r="L108" s="18">
        <v>0.0</v>
      </c>
      <c r="M108" s="18">
        <v>1.34</v>
      </c>
      <c r="N108" s="18">
        <v>0.0</v>
      </c>
      <c r="O108" s="18">
        <f>2.89+1.63+1.34+3.94</f>
        <v>9.8</v>
      </c>
      <c r="P108" s="18">
        <v>6.41</v>
      </c>
      <c r="Q108" s="18">
        <v>0.45</v>
      </c>
      <c r="R108" s="18">
        <v>0.81</v>
      </c>
      <c r="S108" s="18">
        <v>4.76</v>
      </c>
      <c r="T108" s="18"/>
      <c r="U108" s="18"/>
      <c r="V108" s="18">
        <f>6.41+0.45+0.81+4.76</f>
        <v>12.43</v>
      </c>
    </row>
    <row r="109">
      <c r="A109" s="6" t="s">
        <v>84</v>
      </c>
      <c r="B109" s="6" t="s">
        <v>63</v>
      </c>
      <c r="C109" s="3" t="s">
        <v>138</v>
      </c>
      <c r="D109" s="6" t="s">
        <v>149</v>
      </c>
      <c r="E109" s="5"/>
      <c r="F109" s="17" t="s">
        <v>147</v>
      </c>
      <c r="G109" s="6" t="s">
        <v>147</v>
      </c>
      <c r="H109" s="6" t="s">
        <v>148</v>
      </c>
      <c r="I109" s="18">
        <v>3.22</v>
      </c>
      <c r="J109" s="18">
        <v>5.18</v>
      </c>
      <c r="K109" s="18">
        <v>0.0</v>
      </c>
      <c r="L109" s="18">
        <v>0.0</v>
      </c>
      <c r="M109" s="18">
        <v>1.22</v>
      </c>
      <c r="N109" s="18">
        <v>0.0</v>
      </c>
      <c r="O109" s="18">
        <f>5.18+0.87+1.22+3.22</f>
        <v>10.49</v>
      </c>
      <c r="P109" s="18">
        <v>5.11</v>
      </c>
      <c r="Q109" s="18">
        <v>1.0</v>
      </c>
      <c r="R109" s="18">
        <v>0.98</v>
      </c>
      <c r="S109" s="18">
        <v>3.85</v>
      </c>
      <c r="T109" s="18"/>
      <c r="U109" s="18"/>
      <c r="V109" s="18">
        <f>5.11+1+0.98+3.85</f>
        <v>10.94</v>
      </c>
    </row>
    <row r="110">
      <c r="A110" s="6" t="s">
        <v>84</v>
      </c>
      <c r="B110" s="6" t="s">
        <v>63</v>
      </c>
      <c r="C110" s="3" t="s">
        <v>138</v>
      </c>
      <c r="D110" s="6" t="s">
        <v>150</v>
      </c>
      <c r="E110" s="5"/>
      <c r="F110" s="17" t="s">
        <v>151</v>
      </c>
      <c r="G110" s="6" t="s">
        <v>151</v>
      </c>
      <c r="H110" s="6" t="s">
        <v>152</v>
      </c>
      <c r="I110" s="18">
        <v>16.51</v>
      </c>
      <c r="J110" s="18">
        <v>0.0</v>
      </c>
      <c r="K110" s="18">
        <v>0.0</v>
      </c>
      <c r="L110" s="18">
        <v>0.04</v>
      </c>
      <c r="M110" s="18">
        <v>11.74</v>
      </c>
      <c r="N110" s="18">
        <v>6.51</v>
      </c>
      <c r="O110" s="18">
        <f>0.06+6.17+0.04+11.74+6.51+16.51</f>
        <v>41.03</v>
      </c>
      <c r="P110" s="18">
        <v>0.18</v>
      </c>
      <c r="Q110" s="18">
        <v>0.0</v>
      </c>
      <c r="R110" s="18">
        <v>0.0</v>
      </c>
      <c r="S110" s="18">
        <v>1.53</v>
      </c>
      <c r="T110" s="18">
        <v>0.0</v>
      </c>
      <c r="U110" s="18">
        <v>0.0</v>
      </c>
      <c r="V110" s="18">
        <f>1.53+11.87+0.18</f>
        <v>13.58</v>
      </c>
    </row>
    <row r="111">
      <c r="A111" s="6" t="s">
        <v>84</v>
      </c>
      <c r="B111" s="6" t="s">
        <v>63</v>
      </c>
      <c r="C111" s="3" t="s">
        <v>138</v>
      </c>
      <c r="D111" s="6" t="s">
        <v>153</v>
      </c>
      <c r="E111" s="5"/>
      <c r="F111" s="17" t="s">
        <v>151</v>
      </c>
      <c r="G111" s="6" t="s">
        <v>151</v>
      </c>
      <c r="H111" s="6" t="s">
        <v>152</v>
      </c>
      <c r="I111" s="18">
        <v>9.79</v>
      </c>
      <c r="J111" s="18">
        <v>0.05</v>
      </c>
      <c r="K111" s="18">
        <v>0.16</v>
      </c>
      <c r="L111" s="18">
        <v>0.13</v>
      </c>
      <c r="M111" s="18">
        <v>16.66</v>
      </c>
      <c r="N111" s="18">
        <v>7.79</v>
      </c>
      <c r="O111" s="18">
        <f>0.05+0.16+4.57+0.13+16.66+7.79+9.79</f>
        <v>39.15</v>
      </c>
      <c r="P111" s="18">
        <v>0.12</v>
      </c>
      <c r="Q111" s="18">
        <v>0.0</v>
      </c>
      <c r="R111" s="18">
        <v>0.0</v>
      </c>
      <c r="S111" s="18">
        <v>0.49</v>
      </c>
      <c r="T111" s="18">
        <v>2.82</v>
      </c>
      <c r="U111" s="18">
        <v>0.0</v>
      </c>
      <c r="V111" s="18">
        <f>0.97+2.82+0.49+0.12</f>
        <v>4.4</v>
      </c>
    </row>
    <row r="112">
      <c r="A112" s="6" t="s">
        <v>84</v>
      </c>
      <c r="B112" s="6" t="s">
        <v>63</v>
      </c>
      <c r="C112" s="3" t="s">
        <v>138</v>
      </c>
      <c r="D112" s="6" t="s">
        <v>154</v>
      </c>
      <c r="E112" s="5"/>
      <c r="F112" s="17" t="s">
        <v>155</v>
      </c>
      <c r="G112" s="6" t="s">
        <v>155</v>
      </c>
      <c r="H112" s="6" t="s">
        <v>152</v>
      </c>
      <c r="I112" s="18">
        <v>13.6</v>
      </c>
      <c r="J112" s="18">
        <v>1.1</v>
      </c>
      <c r="K112" s="18">
        <v>1.1</v>
      </c>
      <c r="L112" s="18">
        <v>0.4</v>
      </c>
      <c r="M112" s="18">
        <v>14.6</v>
      </c>
      <c r="N112" s="18">
        <v>1.7</v>
      </c>
      <c r="O112" s="18">
        <f>0.4+1.1+1.1+0.4+14.6+1.1+0.7</f>
        <v>19.4</v>
      </c>
      <c r="P112" s="18">
        <v>2.1</v>
      </c>
      <c r="Q112" s="18">
        <v>0.1</v>
      </c>
      <c r="R112" s="18">
        <v>0.3</v>
      </c>
      <c r="S112" s="18">
        <v>6.9</v>
      </c>
      <c r="T112" s="18">
        <v>1.1</v>
      </c>
      <c r="U112" s="18">
        <v>0.7</v>
      </c>
      <c r="V112" s="18">
        <f>2.1+0.1+0.4+0.3+6.9+1.1+0.7</f>
        <v>11.6</v>
      </c>
    </row>
    <row r="113">
      <c r="A113" s="6" t="s">
        <v>84</v>
      </c>
      <c r="B113" s="6" t="s">
        <v>63</v>
      </c>
      <c r="C113" s="3" t="s">
        <v>138</v>
      </c>
      <c r="D113" s="6" t="s">
        <v>156</v>
      </c>
      <c r="E113" s="5"/>
      <c r="F113" s="17" t="s">
        <v>157</v>
      </c>
      <c r="G113" s="6" t="s">
        <v>157</v>
      </c>
      <c r="H113" s="6" t="s">
        <v>158</v>
      </c>
      <c r="I113" s="18">
        <v>15.78</v>
      </c>
      <c r="J113" s="18">
        <v>1.03</v>
      </c>
      <c r="K113" s="18">
        <v>0.0</v>
      </c>
      <c r="L113" s="18">
        <v>0.43</v>
      </c>
      <c r="M113" s="18">
        <v>17.43</v>
      </c>
      <c r="N113" s="18">
        <v>0.84</v>
      </c>
      <c r="O113" s="18">
        <f>1.03+0.39+0.43+17.43+0.34+0.84+15.78</f>
        <v>36.24</v>
      </c>
      <c r="P113" s="18">
        <v>2.13</v>
      </c>
      <c r="Q113" s="18">
        <v>0.38</v>
      </c>
      <c r="R113" s="18">
        <v>0.22</v>
      </c>
      <c r="S113" s="18">
        <v>4.61</v>
      </c>
      <c r="T113" s="18">
        <v>0.49</v>
      </c>
      <c r="U113" s="18">
        <v>0.59</v>
      </c>
      <c r="V113" s="18">
        <f>2.13+0.38+0.66+0.22+4.61+0.61+0.49+0.59</f>
        <v>9.69</v>
      </c>
    </row>
    <row r="114">
      <c r="A114" s="6" t="s">
        <v>84</v>
      </c>
      <c r="B114" s="6" t="s">
        <v>63</v>
      </c>
      <c r="C114" s="3" t="s">
        <v>138</v>
      </c>
      <c r="D114" s="6" t="s">
        <v>159</v>
      </c>
      <c r="E114" s="5"/>
      <c r="F114" s="17" t="s">
        <v>157</v>
      </c>
      <c r="G114" s="6" t="s">
        <v>157</v>
      </c>
      <c r="H114" s="6" t="s">
        <v>158</v>
      </c>
      <c r="I114" s="18">
        <v>15.88</v>
      </c>
      <c r="J114" s="18">
        <v>0.76</v>
      </c>
      <c r="K114" s="18">
        <v>0.0</v>
      </c>
      <c r="L114" s="18">
        <v>0.0</v>
      </c>
      <c r="M114" s="18">
        <v>25.38</v>
      </c>
      <c r="N114" s="18">
        <v>0.79</v>
      </c>
      <c r="O114" s="18">
        <f>0.76+0.64+25.38+0.79+15.88</f>
        <v>43.45</v>
      </c>
      <c r="P114" s="18">
        <v>1.84</v>
      </c>
      <c r="Q114" s="18">
        <v>0.26</v>
      </c>
      <c r="R114" s="18">
        <v>0.26</v>
      </c>
      <c r="S114" s="18">
        <v>0.0</v>
      </c>
      <c r="T114" s="18">
        <v>0.0</v>
      </c>
      <c r="U114" s="18">
        <v>0.0</v>
      </c>
      <c r="V114" s="18">
        <f>1.84+0.26+2.29+0.26+0.53</f>
        <v>5.18</v>
      </c>
    </row>
    <row r="115">
      <c r="A115" s="6" t="s">
        <v>84</v>
      </c>
      <c r="B115" s="6" t="s">
        <v>23</v>
      </c>
      <c r="C115" s="3" t="s">
        <v>138</v>
      </c>
      <c r="D115" s="6" t="s">
        <v>160</v>
      </c>
      <c r="E115" s="5"/>
      <c r="F115" s="17" t="s">
        <v>161</v>
      </c>
      <c r="G115" s="6" t="s">
        <v>161</v>
      </c>
      <c r="H115" s="6" t="s">
        <v>162</v>
      </c>
      <c r="I115" s="18">
        <v>14.2</v>
      </c>
      <c r="J115" s="18">
        <v>0.0</v>
      </c>
      <c r="K115" s="18">
        <v>5.2</v>
      </c>
      <c r="L115" s="18">
        <v>0.0</v>
      </c>
      <c r="M115" s="18">
        <v>20.5</v>
      </c>
      <c r="N115" s="18">
        <v>0.0</v>
      </c>
      <c r="O115">
        <f>5.2+20.5+14.2</f>
        <v>39.9</v>
      </c>
      <c r="P115" s="3">
        <v>3.2</v>
      </c>
      <c r="Q115" s="18">
        <v>1.3</v>
      </c>
      <c r="R115" s="18">
        <v>0.0</v>
      </c>
      <c r="S115" s="18">
        <v>0.0</v>
      </c>
      <c r="T115" s="18">
        <v>0.0</v>
      </c>
      <c r="U115" s="18">
        <v>0.0</v>
      </c>
      <c r="V115" s="18">
        <f>3.2+1.3</f>
        <v>4.5</v>
      </c>
    </row>
    <row r="116">
      <c r="A116" s="6" t="s">
        <v>84</v>
      </c>
      <c r="B116" s="6" t="s">
        <v>23</v>
      </c>
      <c r="C116" s="3" t="s">
        <v>138</v>
      </c>
      <c r="D116" s="6" t="s">
        <v>163</v>
      </c>
      <c r="E116" s="5"/>
      <c r="F116" s="17" t="s">
        <v>161</v>
      </c>
      <c r="G116" s="6" t="s">
        <v>161</v>
      </c>
      <c r="H116" s="6" t="s">
        <v>162</v>
      </c>
      <c r="I116" s="18">
        <v>15.6</v>
      </c>
      <c r="J116" s="18">
        <v>0.0</v>
      </c>
      <c r="K116" s="18">
        <v>0.4</v>
      </c>
      <c r="L116" s="18">
        <v>0.0</v>
      </c>
      <c r="M116" s="18">
        <v>18.0</v>
      </c>
      <c r="N116" s="18">
        <v>0.0</v>
      </c>
      <c r="O116" s="18">
        <f>0.4+18+15.6</f>
        <v>34</v>
      </c>
      <c r="P116" s="18">
        <v>1.7</v>
      </c>
      <c r="Q116" s="18">
        <v>0.3</v>
      </c>
      <c r="R116" s="18">
        <v>0.0</v>
      </c>
      <c r="S116" s="18">
        <v>1.2</v>
      </c>
      <c r="T116" s="18">
        <v>0.0</v>
      </c>
      <c r="U116" s="18">
        <v>0.0</v>
      </c>
      <c r="V116" s="18">
        <f>1.7+0.3+1.2</f>
        <v>3.2</v>
      </c>
    </row>
    <row r="117">
      <c r="A117" s="6" t="s">
        <v>84</v>
      </c>
      <c r="B117" s="6" t="s">
        <v>23</v>
      </c>
      <c r="C117" s="3" t="s">
        <v>138</v>
      </c>
      <c r="D117" s="6" t="s">
        <v>164</v>
      </c>
      <c r="E117" s="5"/>
      <c r="F117" s="17" t="s">
        <v>161</v>
      </c>
      <c r="G117" s="6" t="s">
        <v>161</v>
      </c>
      <c r="H117" s="6" t="s">
        <v>162</v>
      </c>
      <c r="I117" s="18">
        <v>5.0</v>
      </c>
      <c r="J117" s="18">
        <v>0.0</v>
      </c>
      <c r="K117" s="18">
        <v>0.0</v>
      </c>
      <c r="L117" s="18">
        <v>0.0</v>
      </c>
      <c r="M117" s="18">
        <v>3.6</v>
      </c>
      <c r="N117" s="18">
        <v>0.0</v>
      </c>
      <c r="O117" s="18">
        <f>3.6+5</f>
        <v>8.6</v>
      </c>
      <c r="P117" s="18">
        <v>1.6</v>
      </c>
      <c r="Q117" s="18">
        <v>0.3</v>
      </c>
      <c r="R117" s="18">
        <v>0.0</v>
      </c>
      <c r="S117" s="18">
        <v>0.4</v>
      </c>
      <c r="T117" s="18">
        <v>0.0</v>
      </c>
      <c r="U117" s="18">
        <v>0.0</v>
      </c>
      <c r="V117" s="18">
        <f>1.6+0.3+0.4</f>
        <v>2.3</v>
      </c>
    </row>
    <row r="118">
      <c r="A118" s="6" t="s">
        <v>84</v>
      </c>
      <c r="B118" s="6" t="s">
        <v>23</v>
      </c>
      <c r="C118" s="3" t="s">
        <v>138</v>
      </c>
      <c r="D118" s="6" t="s">
        <v>165</v>
      </c>
      <c r="E118" s="5"/>
      <c r="F118" s="17" t="s">
        <v>161</v>
      </c>
      <c r="G118" s="6" t="s">
        <v>161</v>
      </c>
      <c r="H118" s="6" t="s">
        <v>162</v>
      </c>
      <c r="I118" s="18">
        <v>10.2</v>
      </c>
      <c r="J118" s="18">
        <v>0.0</v>
      </c>
      <c r="K118" s="18">
        <v>0.7</v>
      </c>
      <c r="L118" s="18">
        <v>0.0</v>
      </c>
      <c r="M118" s="18">
        <v>17.2</v>
      </c>
      <c r="N118" s="18">
        <v>0.0</v>
      </c>
      <c r="O118" s="18">
        <f>0.7+17.2+10.2</f>
        <v>28.1</v>
      </c>
      <c r="P118" s="18">
        <v>2.1</v>
      </c>
      <c r="Q118" s="18">
        <v>0.3</v>
      </c>
      <c r="R118" s="18">
        <v>0.0</v>
      </c>
      <c r="S118" s="18">
        <v>0.0</v>
      </c>
      <c r="T118" s="18">
        <v>0.0</v>
      </c>
      <c r="U118" s="18">
        <v>0.0</v>
      </c>
      <c r="V118" s="18">
        <f>2.1+0.3</f>
        <v>2.4</v>
      </c>
    </row>
    <row r="119">
      <c r="A119" s="6" t="s">
        <v>84</v>
      </c>
      <c r="B119" s="6" t="s">
        <v>23</v>
      </c>
      <c r="C119" s="3" t="s">
        <v>138</v>
      </c>
      <c r="D119" s="6" t="s">
        <v>166</v>
      </c>
      <c r="E119" s="5"/>
      <c r="F119" s="17" t="s">
        <v>167</v>
      </c>
      <c r="G119" s="6" t="s">
        <v>167</v>
      </c>
      <c r="H119" s="6" t="s">
        <v>168</v>
      </c>
      <c r="I119" s="18">
        <v>10.6</v>
      </c>
      <c r="J119" s="18">
        <v>0.5</v>
      </c>
      <c r="K119" s="18">
        <v>3.4</v>
      </c>
      <c r="L119" s="18">
        <v>0.0</v>
      </c>
      <c r="M119" s="18">
        <v>13.1</v>
      </c>
      <c r="N119" s="18">
        <v>0.7</v>
      </c>
      <c r="O119" s="18">
        <f>2.5+3.4+0.5+13.1+10.6+0.7</f>
        <v>30.8</v>
      </c>
      <c r="P119" s="18">
        <v>1.3</v>
      </c>
      <c r="Q119" s="18">
        <v>0.0</v>
      </c>
      <c r="R119" s="18">
        <v>0.0</v>
      </c>
      <c r="S119" s="18">
        <v>0.0</v>
      </c>
      <c r="T119" s="18">
        <v>0.0</v>
      </c>
      <c r="U119" s="18">
        <v>0.0</v>
      </c>
      <c r="V119" s="18">
        <v>1.3</v>
      </c>
    </row>
    <row r="120">
      <c r="A120" s="6" t="s">
        <v>84</v>
      </c>
      <c r="B120" s="6" t="s">
        <v>23</v>
      </c>
      <c r="C120" s="3" t="s">
        <v>138</v>
      </c>
      <c r="D120" s="6" t="s">
        <v>166</v>
      </c>
      <c r="E120" s="5"/>
      <c r="F120" s="17" t="s">
        <v>167</v>
      </c>
      <c r="G120" s="6" t="s">
        <v>167</v>
      </c>
      <c r="H120" s="6" t="s">
        <v>168</v>
      </c>
      <c r="I120" s="18">
        <v>6.4</v>
      </c>
      <c r="J120" s="18">
        <v>0.6</v>
      </c>
      <c r="K120" s="18">
        <v>2.6</v>
      </c>
      <c r="L120" s="18">
        <v>0.0</v>
      </c>
      <c r="M120" s="18">
        <v>9.5</v>
      </c>
      <c r="N120" s="18">
        <v>0.5</v>
      </c>
      <c r="O120" s="18">
        <f>2.1+2.6+0.6+9.5+6.4+0.5</f>
        <v>21.7</v>
      </c>
      <c r="P120" s="18">
        <v>1.3</v>
      </c>
      <c r="Q120" s="18">
        <v>0.0</v>
      </c>
      <c r="R120" s="18">
        <v>0.0</v>
      </c>
      <c r="S120" s="18">
        <v>0.0</v>
      </c>
      <c r="T120" s="18">
        <v>0.0</v>
      </c>
      <c r="U120" s="18">
        <v>0.0</v>
      </c>
      <c r="V120" s="18">
        <v>1.3</v>
      </c>
    </row>
    <row r="121">
      <c r="A121" s="6" t="s">
        <v>84</v>
      </c>
      <c r="B121" s="6" t="s">
        <v>23</v>
      </c>
      <c r="C121" s="3" t="s">
        <v>138</v>
      </c>
      <c r="D121" s="6" t="s">
        <v>166</v>
      </c>
      <c r="E121" s="5"/>
      <c r="F121" s="17" t="s">
        <v>167</v>
      </c>
      <c r="G121" s="6" t="s">
        <v>167</v>
      </c>
      <c r="H121" s="6" t="s">
        <v>168</v>
      </c>
      <c r="I121" s="18">
        <v>13.7</v>
      </c>
      <c r="J121" s="18">
        <v>1.2</v>
      </c>
      <c r="K121" s="18">
        <v>2.7</v>
      </c>
      <c r="L121" s="18">
        <v>0.0</v>
      </c>
      <c r="M121" s="18">
        <v>15.0</v>
      </c>
      <c r="N121" s="18">
        <v>0.8</v>
      </c>
      <c r="O121" s="18">
        <f>1+2.7+1.2+15+13.7+0.8</f>
        <v>34.4</v>
      </c>
      <c r="P121" s="18">
        <v>21.0</v>
      </c>
      <c r="Q121" s="18">
        <v>0.0</v>
      </c>
      <c r="R121" s="18">
        <v>0.0</v>
      </c>
      <c r="S121" s="18">
        <v>0.0</v>
      </c>
      <c r="T121" s="18">
        <v>0.0</v>
      </c>
      <c r="U121" s="18">
        <v>0.0</v>
      </c>
      <c r="V121" s="18">
        <v>2.1</v>
      </c>
    </row>
    <row r="122">
      <c r="A122" s="6" t="s">
        <v>84</v>
      </c>
      <c r="B122" s="6" t="s">
        <v>23</v>
      </c>
      <c r="C122" s="3" t="s">
        <v>138</v>
      </c>
      <c r="D122" s="6" t="s">
        <v>166</v>
      </c>
      <c r="E122" s="5"/>
      <c r="F122" s="17" t="s">
        <v>167</v>
      </c>
      <c r="G122" s="6" t="s">
        <v>167</v>
      </c>
      <c r="H122" s="6" t="s">
        <v>168</v>
      </c>
      <c r="I122" s="18">
        <v>10.8</v>
      </c>
      <c r="J122" s="18">
        <v>0.6</v>
      </c>
      <c r="K122" s="18">
        <v>1.3</v>
      </c>
      <c r="L122" s="18">
        <v>0.0</v>
      </c>
      <c r="M122" s="18">
        <v>20.7</v>
      </c>
      <c r="N122" s="18">
        <v>0.5</v>
      </c>
      <c r="O122" s="18">
        <f>0.4+1.3+0.6+20.7+10.8+0.5</f>
        <v>34.3</v>
      </c>
      <c r="P122" s="18">
        <v>1.5</v>
      </c>
      <c r="Q122" s="18">
        <v>0.0</v>
      </c>
      <c r="R122" s="18">
        <v>0.0</v>
      </c>
      <c r="S122" s="18">
        <v>0.0</v>
      </c>
      <c r="T122" s="18">
        <v>0.0</v>
      </c>
      <c r="U122" s="18">
        <v>0.0</v>
      </c>
      <c r="V122" s="18">
        <v>1.5</v>
      </c>
    </row>
    <row r="123">
      <c r="A123" s="6" t="s">
        <v>84</v>
      </c>
      <c r="B123" s="6" t="s">
        <v>23</v>
      </c>
      <c r="C123" s="3" t="s">
        <v>138</v>
      </c>
      <c r="D123" s="6" t="s">
        <v>166</v>
      </c>
      <c r="E123" s="5"/>
      <c r="F123" s="17" t="s">
        <v>167</v>
      </c>
      <c r="G123" s="6" t="s">
        <v>167</v>
      </c>
      <c r="H123" s="6" t="s">
        <v>168</v>
      </c>
      <c r="I123" s="18">
        <v>10.3</v>
      </c>
      <c r="J123" s="18">
        <v>0.7</v>
      </c>
      <c r="K123" s="18">
        <v>1.4</v>
      </c>
      <c r="L123" s="18">
        <v>0.0</v>
      </c>
      <c r="M123" s="18">
        <v>13.7</v>
      </c>
      <c r="N123" s="18">
        <v>0.3</v>
      </c>
      <c r="O123" s="18">
        <f>0.4+1.4+0.7+13.7+10.3+0.3</f>
        <v>26.8</v>
      </c>
      <c r="P123" s="18">
        <v>2.5</v>
      </c>
      <c r="Q123" s="18">
        <v>0.0</v>
      </c>
      <c r="R123" s="18">
        <v>0.0</v>
      </c>
      <c r="S123" s="18">
        <v>0.0</v>
      </c>
      <c r="T123" s="18">
        <v>0.0</v>
      </c>
      <c r="U123" s="18">
        <v>0.0</v>
      </c>
      <c r="V123" s="18">
        <v>2.5</v>
      </c>
    </row>
    <row r="124">
      <c r="A124" s="6" t="s">
        <v>84</v>
      </c>
      <c r="B124" s="6" t="s">
        <v>23</v>
      </c>
      <c r="C124" s="3" t="s">
        <v>138</v>
      </c>
      <c r="D124" s="6" t="s">
        <v>166</v>
      </c>
      <c r="E124" s="5"/>
      <c r="F124" s="17" t="s">
        <v>167</v>
      </c>
      <c r="G124" s="6" t="s">
        <v>167</v>
      </c>
      <c r="H124" s="6" t="s">
        <v>168</v>
      </c>
      <c r="I124" s="18">
        <v>6.4</v>
      </c>
      <c r="J124" s="18">
        <v>1.0</v>
      </c>
      <c r="K124" s="18">
        <v>1.1</v>
      </c>
      <c r="L124" s="18">
        <v>0.0</v>
      </c>
      <c r="M124" s="18">
        <v>6.5</v>
      </c>
      <c r="N124" s="18">
        <v>0.4</v>
      </c>
      <c r="O124" s="18">
        <f>0.4+1.1+1+6.5+6.4+0.4</f>
        <v>15.8</v>
      </c>
      <c r="P124" s="18">
        <v>2.8</v>
      </c>
      <c r="Q124" s="18">
        <v>0.0</v>
      </c>
      <c r="R124" s="18">
        <v>0.0</v>
      </c>
      <c r="S124" s="18">
        <v>0.0</v>
      </c>
      <c r="T124" s="18">
        <v>0.0</v>
      </c>
      <c r="U124" s="18">
        <v>0.0</v>
      </c>
      <c r="V124" s="18">
        <v>2.8</v>
      </c>
    </row>
    <row r="125">
      <c r="A125" s="6" t="s">
        <v>84</v>
      </c>
      <c r="B125" s="6" t="s">
        <v>23</v>
      </c>
      <c r="C125" s="3" t="s">
        <v>138</v>
      </c>
      <c r="D125" s="6" t="s">
        <v>166</v>
      </c>
      <c r="E125" s="5"/>
      <c r="F125" s="17" t="s">
        <v>167</v>
      </c>
      <c r="G125" s="6" t="s">
        <v>167</v>
      </c>
      <c r="H125" s="6" t="s">
        <v>168</v>
      </c>
      <c r="I125" s="18">
        <v>6.6</v>
      </c>
      <c r="J125" s="18">
        <v>0.4</v>
      </c>
      <c r="K125" s="18">
        <v>2.3</v>
      </c>
      <c r="L125" s="18">
        <v>0.0</v>
      </c>
      <c r="M125" s="18">
        <v>7.8</v>
      </c>
      <c r="N125" s="18">
        <v>0.7</v>
      </c>
      <c r="O125" s="18">
        <f>4.5+0.1+2.3+0.4+7.8+6.6+0.7</f>
        <v>22.4</v>
      </c>
      <c r="P125" s="18">
        <v>1.2</v>
      </c>
      <c r="Q125" s="18">
        <v>0.0</v>
      </c>
      <c r="R125" s="18">
        <v>0.0</v>
      </c>
      <c r="S125" s="18">
        <v>0.0</v>
      </c>
      <c r="T125" s="18">
        <v>0.0</v>
      </c>
      <c r="U125" s="18">
        <v>0.0</v>
      </c>
      <c r="V125" s="18">
        <v>1.2</v>
      </c>
    </row>
    <row r="126">
      <c r="A126" s="6" t="s">
        <v>84</v>
      </c>
      <c r="B126" s="6" t="s">
        <v>23</v>
      </c>
      <c r="C126" s="3" t="s">
        <v>138</v>
      </c>
      <c r="D126" s="6" t="s">
        <v>166</v>
      </c>
      <c r="E126" s="5"/>
      <c r="F126" s="17" t="s">
        <v>167</v>
      </c>
      <c r="G126" s="6" t="s">
        <v>167</v>
      </c>
      <c r="H126" s="6" t="s">
        <v>168</v>
      </c>
      <c r="I126" s="18">
        <v>8.2</v>
      </c>
      <c r="J126" s="18">
        <v>0.1</v>
      </c>
      <c r="K126" s="18">
        <v>1.0</v>
      </c>
      <c r="L126" s="18">
        <v>0.0</v>
      </c>
      <c r="M126" s="18">
        <v>9.9</v>
      </c>
      <c r="N126" s="18">
        <v>0.4</v>
      </c>
      <c r="O126">
        <f>1.7+1+0.1+9.9+8.2+0.4</f>
        <v>21.3</v>
      </c>
      <c r="P126" s="18">
        <v>0.1</v>
      </c>
      <c r="Q126" s="18">
        <v>0.0</v>
      </c>
      <c r="R126" s="18">
        <v>0.0</v>
      </c>
      <c r="S126" s="18">
        <v>0.0</v>
      </c>
      <c r="T126" s="18">
        <v>0.0</v>
      </c>
      <c r="U126" s="18">
        <v>0.0</v>
      </c>
      <c r="V126" s="18">
        <v>0.1</v>
      </c>
    </row>
    <row r="127">
      <c r="A127" s="6" t="s">
        <v>84</v>
      </c>
      <c r="B127" s="6" t="s">
        <v>23</v>
      </c>
      <c r="C127" s="3" t="s">
        <v>138</v>
      </c>
      <c r="D127" s="6" t="s">
        <v>166</v>
      </c>
      <c r="E127" s="5"/>
      <c r="F127" s="17" t="s">
        <v>167</v>
      </c>
      <c r="G127" s="6" t="s">
        <v>167</v>
      </c>
      <c r="H127" s="6" t="s">
        <v>168</v>
      </c>
      <c r="I127" s="18">
        <v>21.1</v>
      </c>
      <c r="J127" s="18">
        <v>2.1</v>
      </c>
      <c r="K127" s="18">
        <v>4.0</v>
      </c>
      <c r="L127" s="18">
        <v>0.0</v>
      </c>
      <c r="M127" s="18">
        <v>9.0</v>
      </c>
      <c r="N127" s="18">
        <v>0.0</v>
      </c>
      <c r="O127" s="18">
        <f>1.7+1+0.1+9+21.1</f>
        <v>32.9</v>
      </c>
      <c r="P127" s="18">
        <v>2.1</v>
      </c>
      <c r="Q127" s="18">
        <v>0.0</v>
      </c>
      <c r="R127" s="18">
        <v>0.0</v>
      </c>
      <c r="S127" s="18">
        <v>0.0</v>
      </c>
      <c r="T127" s="18">
        <v>0.0</v>
      </c>
      <c r="U127" s="18">
        <v>0.0</v>
      </c>
      <c r="V127" s="18">
        <v>2.1</v>
      </c>
    </row>
    <row r="128">
      <c r="A128" s="6" t="s">
        <v>84</v>
      </c>
      <c r="B128" s="6" t="s">
        <v>23</v>
      </c>
      <c r="C128" s="3" t="s">
        <v>138</v>
      </c>
      <c r="D128" s="6" t="s">
        <v>166</v>
      </c>
      <c r="E128" s="5"/>
      <c r="F128" s="17" t="s">
        <v>167</v>
      </c>
      <c r="G128" s="6" t="s">
        <v>167</v>
      </c>
      <c r="H128" s="6" t="s">
        <v>168</v>
      </c>
      <c r="I128" s="18">
        <v>16.9</v>
      </c>
      <c r="J128" s="18">
        <v>1.8</v>
      </c>
      <c r="K128" s="18">
        <v>4.2</v>
      </c>
      <c r="L128" s="18">
        <v>0.0</v>
      </c>
      <c r="M128" s="18">
        <v>5.3</v>
      </c>
      <c r="N128" s="18">
        <v>0.9</v>
      </c>
      <c r="O128" s="18">
        <f>0.6+4.2+1.8+5.3+16.9+0.9</f>
        <v>29.7</v>
      </c>
      <c r="P128" s="18">
        <v>2.2</v>
      </c>
      <c r="Q128" s="18">
        <v>0.0</v>
      </c>
      <c r="R128" s="18">
        <v>0.0</v>
      </c>
      <c r="S128" s="18">
        <v>0.0</v>
      </c>
      <c r="T128" s="18">
        <v>0.0</v>
      </c>
      <c r="U128" s="18">
        <v>0.0</v>
      </c>
      <c r="V128" s="18">
        <v>2.2</v>
      </c>
    </row>
    <row r="129">
      <c r="A129" s="6" t="s">
        <v>84</v>
      </c>
      <c r="B129" s="6" t="s">
        <v>23</v>
      </c>
      <c r="C129" s="3" t="s">
        <v>138</v>
      </c>
      <c r="D129" s="6" t="s">
        <v>166</v>
      </c>
      <c r="E129" s="5"/>
      <c r="F129" s="17" t="s">
        <v>167</v>
      </c>
      <c r="G129" s="6" t="s">
        <v>167</v>
      </c>
      <c r="H129" s="6" t="s">
        <v>168</v>
      </c>
      <c r="I129" s="18">
        <v>21.3</v>
      </c>
      <c r="J129" s="18">
        <v>1.2</v>
      </c>
      <c r="K129" s="18">
        <v>2.2</v>
      </c>
      <c r="L129" s="18">
        <v>0.0</v>
      </c>
      <c r="M129" s="18">
        <v>7.8</v>
      </c>
      <c r="N129" s="18">
        <v>0.7</v>
      </c>
      <c r="O129" s="18">
        <f>0.2+1.6+2.2+1.2+7.8+21.3+0.7</f>
        <v>35</v>
      </c>
      <c r="P129" s="18">
        <v>2.5</v>
      </c>
      <c r="Q129" s="18">
        <v>0.0</v>
      </c>
      <c r="R129" s="18">
        <v>0.0</v>
      </c>
      <c r="S129" s="18">
        <v>0.0</v>
      </c>
      <c r="T129" s="18">
        <v>0.0</v>
      </c>
      <c r="U129" s="18">
        <v>0.0</v>
      </c>
      <c r="V129" s="18">
        <v>2.5</v>
      </c>
    </row>
    <row r="130">
      <c r="A130" s="6" t="s">
        <v>84</v>
      </c>
      <c r="B130" s="6" t="s">
        <v>23</v>
      </c>
      <c r="C130" s="3" t="s">
        <v>138</v>
      </c>
      <c r="D130" s="6" t="s">
        <v>166</v>
      </c>
      <c r="E130" s="5"/>
      <c r="F130" s="17" t="s">
        <v>167</v>
      </c>
      <c r="G130" s="6" t="s">
        <v>167</v>
      </c>
      <c r="H130" s="6" t="s">
        <v>168</v>
      </c>
      <c r="I130" s="18">
        <v>19.1</v>
      </c>
      <c r="J130" s="18">
        <v>0.7</v>
      </c>
      <c r="K130" s="18">
        <v>1.5</v>
      </c>
      <c r="L130" s="18">
        <v>0.0</v>
      </c>
      <c r="M130" s="18">
        <v>9.2</v>
      </c>
      <c r="N130" s="18">
        <v>0.8</v>
      </c>
      <c r="O130" s="18">
        <f>0.1+1.7+1.5+0.7+9.2+19.1+0.8</f>
        <v>33.1</v>
      </c>
      <c r="P130" s="18">
        <v>2.1</v>
      </c>
      <c r="Q130" s="18">
        <v>0.0</v>
      </c>
      <c r="R130" s="18">
        <v>0.0</v>
      </c>
      <c r="S130" s="18">
        <v>0.0</v>
      </c>
      <c r="T130" s="18">
        <v>0.0</v>
      </c>
      <c r="U130" s="18">
        <v>0.0</v>
      </c>
      <c r="V130" s="18">
        <v>2.1</v>
      </c>
    </row>
    <row r="131">
      <c r="A131" s="6" t="s">
        <v>84</v>
      </c>
      <c r="B131" s="6" t="s">
        <v>23</v>
      </c>
      <c r="C131" s="3" t="s">
        <v>138</v>
      </c>
      <c r="D131" s="6" t="s">
        <v>166</v>
      </c>
      <c r="E131" s="5"/>
      <c r="F131" s="17" t="s">
        <v>169</v>
      </c>
      <c r="G131" s="6" t="s">
        <v>169</v>
      </c>
      <c r="H131" s="6" t="s">
        <v>168</v>
      </c>
      <c r="I131" s="18">
        <v>27.94</v>
      </c>
      <c r="J131" s="18">
        <v>1.38</v>
      </c>
      <c r="K131" s="3">
        <v>1.25</v>
      </c>
      <c r="L131" s="3">
        <v>0.57</v>
      </c>
      <c r="M131" s="3">
        <v>16.85</v>
      </c>
      <c r="N131" s="3">
        <v>0.08</v>
      </c>
      <c r="O131">
        <f>1.38+0.21+1.25+0.57+16.85+0.08+27.94</f>
        <v>48.28</v>
      </c>
      <c r="P131" s="3">
        <v>1.65</v>
      </c>
      <c r="Q131" s="3">
        <v>0.0</v>
      </c>
      <c r="R131" s="3">
        <v>0.0</v>
      </c>
      <c r="S131" s="3">
        <v>1.54</v>
      </c>
      <c r="T131" s="3">
        <v>0.0</v>
      </c>
      <c r="U131" s="3">
        <v>0.45</v>
      </c>
      <c r="V131">
        <f>1.65+0.4+1.54+0.45</f>
        <v>4.04</v>
      </c>
    </row>
    <row r="132">
      <c r="A132" s="6" t="s">
        <v>84</v>
      </c>
      <c r="B132" s="6" t="s">
        <v>23</v>
      </c>
      <c r="C132" s="3" t="s">
        <v>138</v>
      </c>
      <c r="D132" s="6" t="s">
        <v>166</v>
      </c>
      <c r="E132" s="5"/>
      <c r="F132" s="17" t="s">
        <v>169</v>
      </c>
      <c r="G132" s="6" t="s">
        <v>169</v>
      </c>
      <c r="H132" s="6" t="s">
        <v>168</v>
      </c>
      <c r="I132" s="18">
        <v>21.8</v>
      </c>
      <c r="J132" s="18">
        <v>0.89</v>
      </c>
      <c r="K132" s="18">
        <v>1.2</v>
      </c>
      <c r="L132" s="18">
        <v>0.32</v>
      </c>
      <c r="M132" s="18">
        <v>21.1</v>
      </c>
      <c r="N132" s="18">
        <v>0.2</v>
      </c>
      <c r="O132" s="18">
        <f>sum(I132:N132)+0.22</f>
        <v>45.73</v>
      </c>
      <c r="P132" s="18">
        <v>1.33</v>
      </c>
      <c r="Q132" s="18">
        <v>0.0</v>
      </c>
      <c r="R132" s="18">
        <v>0.0</v>
      </c>
      <c r="S132" s="18">
        <v>1.32</v>
      </c>
      <c r="T132" s="18">
        <v>0.0</v>
      </c>
      <c r="U132" s="18">
        <v>0.6</v>
      </c>
      <c r="V132" s="18">
        <f>sum(P132:U132)+0.18</f>
        <v>3.43</v>
      </c>
    </row>
    <row r="133">
      <c r="A133" s="6" t="s">
        <v>84</v>
      </c>
      <c r="B133" s="6" t="s">
        <v>23</v>
      </c>
      <c r="C133" s="3" t="s">
        <v>138</v>
      </c>
      <c r="D133" s="6" t="s">
        <v>166</v>
      </c>
      <c r="E133" s="5"/>
      <c r="F133" s="17" t="s">
        <v>169</v>
      </c>
      <c r="G133" s="6" t="s">
        <v>169</v>
      </c>
      <c r="H133" s="6" t="s">
        <v>168</v>
      </c>
      <c r="I133" s="18">
        <v>22.75</v>
      </c>
      <c r="J133" s="18">
        <v>1.38</v>
      </c>
      <c r="K133" s="18">
        <v>2.07</v>
      </c>
      <c r="L133" s="18">
        <v>0.79</v>
      </c>
      <c r="M133" s="18">
        <v>10.56</v>
      </c>
      <c r="N133" s="18">
        <v>0.6</v>
      </c>
      <c r="O133" s="18">
        <f>sum(I133:N133)+0.28</f>
        <v>38.43</v>
      </c>
      <c r="P133" s="18">
        <v>1.72</v>
      </c>
      <c r="Q133" s="18">
        <v>0.0</v>
      </c>
      <c r="R133" s="18">
        <v>0.0</v>
      </c>
      <c r="S133" s="18">
        <v>1.26</v>
      </c>
      <c r="T133" s="18">
        <v>0.0</v>
      </c>
      <c r="U133" s="18">
        <v>0.53</v>
      </c>
      <c r="V133" s="18">
        <f>sum(P133:U133)+0.4</f>
        <v>3.91</v>
      </c>
    </row>
    <row r="134">
      <c r="A134" s="6" t="s">
        <v>84</v>
      </c>
      <c r="B134" s="6" t="s">
        <v>23</v>
      </c>
      <c r="C134" s="3" t="s">
        <v>138</v>
      </c>
      <c r="D134" s="6" t="s">
        <v>166</v>
      </c>
      <c r="E134" s="5"/>
      <c r="F134" s="17" t="s">
        <v>169</v>
      </c>
      <c r="G134" s="6" t="s">
        <v>169</v>
      </c>
      <c r="H134" s="6" t="s">
        <v>168</v>
      </c>
      <c r="I134" s="18">
        <v>28.62</v>
      </c>
      <c r="J134" s="18">
        <v>1.34</v>
      </c>
      <c r="K134" s="18">
        <v>3.05</v>
      </c>
      <c r="L134" s="18">
        <v>0.79</v>
      </c>
      <c r="M134" s="3">
        <v>10.84</v>
      </c>
      <c r="N134" s="18">
        <v>0.99</v>
      </c>
      <c r="O134" s="18">
        <f>sum(I134:N134)+0.21</f>
        <v>45.84</v>
      </c>
      <c r="P134" s="18">
        <v>1.78</v>
      </c>
      <c r="Q134" s="18">
        <v>0.0</v>
      </c>
      <c r="R134" s="18">
        <v>0.0</v>
      </c>
      <c r="S134" s="18">
        <v>1.03</v>
      </c>
      <c r="T134" s="18">
        <v>0.0</v>
      </c>
      <c r="U134" s="18">
        <v>0.49</v>
      </c>
      <c r="V134" s="18">
        <f>sum(P134:U134)+0.33</f>
        <v>3.63</v>
      </c>
    </row>
    <row r="135">
      <c r="A135" s="6" t="s">
        <v>84</v>
      </c>
      <c r="B135" s="6" t="s">
        <v>23</v>
      </c>
      <c r="C135" s="3" t="s">
        <v>138</v>
      </c>
      <c r="D135" s="6" t="s">
        <v>166</v>
      </c>
      <c r="E135" s="5"/>
      <c r="F135" s="17" t="s">
        <v>169</v>
      </c>
      <c r="G135" s="6" t="s">
        <v>169</v>
      </c>
      <c r="H135" s="6" t="s">
        <v>168</v>
      </c>
      <c r="I135" s="18">
        <v>33.43</v>
      </c>
      <c r="J135" s="18">
        <v>1.35</v>
      </c>
      <c r="K135" s="3">
        <v>1.52</v>
      </c>
      <c r="L135" s="3">
        <v>0.57</v>
      </c>
      <c r="M135" s="18">
        <v>10.87</v>
      </c>
      <c r="N135" s="3">
        <v>0.63</v>
      </c>
      <c r="O135" s="18">
        <f>sum(I135:N135)+0.29</f>
        <v>48.66</v>
      </c>
      <c r="P135" s="3">
        <v>1.86</v>
      </c>
      <c r="Q135" s="3">
        <v>0.0</v>
      </c>
      <c r="R135" s="3">
        <v>0.0</v>
      </c>
      <c r="S135" s="18">
        <v>0.92</v>
      </c>
      <c r="T135" s="18">
        <v>0.0</v>
      </c>
      <c r="U135" s="18">
        <v>0.79</v>
      </c>
      <c r="V135" s="18">
        <f>sum(P135:U135)+0.37</f>
        <v>3.94</v>
      </c>
    </row>
    <row r="136">
      <c r="A136" s="6" t="s">
        <v>84</v>
      </c>
      <c r="B136" s="6" t="s">
        <v>23</v>
      </c>
      <c r="C136" s="3" t="s">
        <v>138</v>
      </c>
      <c r="D136" s="6" t="s">
        <v>166</v>
      </c>
      <c r="E136" s="5"/>
      <c r="F136" s="17" t="s">
        <v>169</v>
      </c>
      <c r="G136" s="6" t="s">
        <v>169</v>
      </c>
      <c r="H136" s="6" t="s">
        <v>168</v>
      </c>
      <c r="I136" s="18">
        <v>33.48</v>
      </c>
      <c r="J136" s="18">
        <v>1.11</v>
      </c>
      <c r="K136" s="3">
        <v>1.28</v>
      </c>
      <c r="L136" s="3">
        <v>0.78</v>
      </c>
      <c r="M136" s="3">
        <v>9.4</v>
      </c>
      <c r="N136" s="3">
        <v>0.3</v>
      </c>
      <c r="O136" s="18">
        <f>sum(I136:N136)+0.27</f>
        <v>46.62</v>
      </c>
      <c r="P136" s="3">
        <v>1.82</v>
      </c>
      <c r="Q136" s="3">
        <v>0.0</v>
      </c>
      <c r="R136" s="18">
        <v>0.0</v>
      </c>
      <c r="S136" s="18">
        <v>1.32</v>
      </c>
      <c r="T136" s="18">
        <v>0.0</v>
      </c>
      <c r="U136" s="18">
        <v>0.61</v>
      </c>
      <c r="V136" s="18">
        <f>sum(P136:U136)+0.32</f>
        <v>4.07</v>
      </c>
    </row>
    <row r="137">
      <c r="A137" s="6" t="s">
        <v>84</v>
      </c>
      <c r="B137" s="6" t="s">
        <v>23</v>
      </c>
      <c r="C137" s="3" t="s">
        <v>138</v>
      </c>
      <c r="D137" s="6" t="s">
        <v>166</v>
      </c>
      <c r="E137" s="5"/>
      <c r="F137" s="17" t="s">
        <v>169</v>
      </c>
      <c r="G137" s="6" t="s">
        <v>169</v>
      </c>
      <c r="H137" s="6" t="s">
        <v>168</v>
      </c>
      <c r="I137" s="18">
        <v>29.51</v>
      </c>
      <c r="J137" s="18">
        <v>0.98</v>
      </c>
      <c r="K137" s="3">
        <v>1.4</v>
      </c>
      <c r="L137" s="3">
        <v>0.38</v>
      </c>
      <c r="M137" s="3">
        <v>16.2</v>
      </c>
      <c r="N137" s="3">
        <v>0.0</v>
      </c>
      <c r="O137" s="18">
        <f>sum(I137:N137)+0.3</f>
        <v>48.77</v>
      </c>
      <c r="P137" s="3">
        <v>1.43</v>
      </c>
      <c r="Q137" s="18">
        <v>0.0</v>
      </c>
      <c r="R137" s="18">
        <v>0.0</v>
      </c>
      <c r="S137" s="18">
        <v>1.66</v>
      </c>
      <c r="T137" s="18">
        <v>0.0</v>
      </c>
      <c r="U137" s="18">
        <v>0.51</v>
      </c>
      <c r="V137" s="18">
        <f>sum(P137:U137)+0.21</f>
        <v>3.81</v>
      </c>
    </row>
    <row r="138">
      <c r="A138" s="6" t="s">
        <v>84</v>
      </c>
      <c r="B138" s="6" t="s">
        <v>23</v>
      </c>
      <c r="C138" s="3" t="s">
        <v>138</v>
      </c>
      <c r="D138" s="6" t="s">
        <v>166</v>
      </c>
      <c r="E138" s="5"/>
      <c r="F138" s="17" t="s">
        <v>169</v>
      </c>
      <c r="G138" s="6" t="s">
        <v>169</v>
      </c>
      <c r="H138" s="6" t="s">
        <v>168</v>
      </c>
      <c r="I138" s="18">
        <v>34.18</v>
      </c>
      <c r="J138" s="18">
        <v>1.11</v>
      </c>
      <c r="K138" s="3">
        <v>1.14</v>
      </c>
      <c r="L138" s="3">
        <v>0.34</v>
      </c>
      <c r="M138" s="3">
        <v>15.6</v>
      </c>
      <c r="N138" s="3">
        <v>0.54</v>
      </c>
      <c r="O138" s="18">
        <f t="shared" ref="O138:O139" si="6">sum(I138:N138)+0.2</f>
        <v>53.11</v>
      </c>
      <c r="P138" s="18">
        <v>1.66</v>
      </c>
      <c r="Q138" s="18">
        <v>0.0</v>
      </c>
      <c r="R138" s="18">
        <v>0.0</v>
      </c>
      <c r="S138" s="18">
        <v>2.7</v>
      </c>
      <c r="T138" s="18">
        <v>0.0</v>
      </c>
      <c r="U138" s="18">
        <v>0.95</v>
      </c>
      <c r="V138" s="18">
        <f>sum(P138:U138)+0.31</f>
        <v>5.62</v>
      </c>
    </row>
    <row r="139">
      <c r="A139" s="6" t="s">
        <v>84</v>
      </c>
      <c r="B139" s="6" t="s">
        <v>23</v>
      </c>
      <c r="C139" s="3" t="s">
        <v>138</v>
      </c>
      <c r="D139" s="6" t="s">
        <v>166</v>
      </c>
      <c r="E139" s="5"/>
      <c r="F139" s="17" t="s">
        <v>169</v>
      </c>
      <c r="G139" s="6" t="s">
        <v>169</v>
      </c>
      <c r="H139" s="6" t="s">
        <v>168</v>
      </c>
      <c r="I139" s="18">
        <v>37.14</v>
      </c>
      <c r="J139" s="18">
        <v>1.03</v>
      </c>
      <c r="K139" s="3">
        <v>0.71</v>
      </c>
      <c r="L139" s="3">
        <v>0.33</v>
      </c>
      <c r="M139" s="3">
        <v>11.95</v>
      </c>
      <c r="N139" s="3">
        <v>0.06</v>
      </c>
      <c r="O139" s="18">
        <f t="shared" si="6"/>
        <v>51.42</v>
      </c>
      <c r="P139" s="18">
        <v>2.11</v>
      </c>
      <c r="Q139" s="18">
        <v>0.0</v>
      </c>
      <c r="R139" s="18">
        <v>0.0</v>
      </c>
      <c r="S139" s="18">
        <v>2.7</v>
      </c>
      <c r="T139" s="18">
        <v>0.0</v>
      </c>
      <c r="U139" s="18">
        <v>1.19</v>
      </c>
      <c r="V139" s="18">
        <f>sum(P139:U139)+0.37</f>
        <v>6.37</v>
      </c>
    </row>
    <row r="140">
      <c r="A140" s="6" t="s">
        <v>84</v>
      </c>
      <c r="B140" s="6" t="s">
        <v>23</v>
      </c>
      <c r="C140" s="3" t="s">
        <v>138</v>
      </c>
      <c r="D140" s="6" t="s">
        <v>166</v>
      </c>
      <c r="E140" s="5"/>
      <c r="F140" s="17" t="s">
        <v>169</v>
      </c>
      <c r="G140" s="6" t="s">
        <v>169</v>
      </c>
      <c r="H140" s="6" t="s">
        <v>168</v>
      </c>
      <c r="I140" s="18">
        <v>37.45</v>
      </c>
      <c r="J140" s="18">
        <v>0.97</v>
      </c>
      <c r="K140" s="3">
        <v>0.5</v>
      </c>
      <c r="L140" s="3">
        <v>0.48</v>
      </c>
      <c r="M140" s="3">
        <v>13.24</v>
      </c>
      <c r="N140" s="18">
        <v>0.44</v>
      </c>
      <c r="O140" s="18">
        <f>sum(I140:N140)+0.27</f>
        <v>53.35</v>
      </c>
      <c r="P140" s="18">
        <v>3.06</v>
      </c>
      <c r="Q140" s="18">
        <v>0.0</v>
      </c>
      <c r="R140" s="18">
        <v>0.0</v>
      </c>
      <c r="S140" s="18">
        <v>2.6</v>
      </c>
      <c r="T140" s="18">
        <v>0.0</v>
      </c>
      <c r="U140" s="18">
        <v>1.09</v>
      </c>
      <c r="V140" s="18">
        <f>sum(P140:U140)+0.42</f>
        <v>7.17</v>
      </c>
    </row>
    <row r="141">
      <c r="A141" s="6" t="s">
        <v>84</v>
      </c>
      <c r="B141" s="6" t="s">
        <v>23</v>
      </c>
      <c r="C141" s="3" t="s">
        <v>138</v>
      </c>
      <c r="D141" s="6" t="s">
        <v>166</v>
      </c>
      <c r="E141" s="5"/>
      <c r="F141" s="17" t="s">
        <v>169</v>
      </c>
      <c r="G141" s="6" t="s">
        <v>169</v>
      </c>
      <c r="H141" s="6" t="s">
        <v>168</v>
      </c>
      <c r="I141" s="18">
        <v>30.79</v>
      </c>
      <c r="J141" s="18">
        <v>1.5</v>
      </c>
      <c r="K141" s="3">
        <v>2.08</v>
      </c>
      <c r="L141" s="3">
        <v>0.86</v>
      </c>
      <c r="M141" s="3">
        <v>14.78</v>
      </c>
      <c r="N141" s="18">
        <v>0.38</v>
      </c>
      <c r="O141" s="18">
        <f>sum(I141:N141)+0.33</f>
        <v>50.72</v>
      </c>
      <c r="P141" s="18">
        <v>1.65</v>
      </c>
      <c r="Q141" s="18">
        <v>0.0</v>
      </c>
      <c r="R141" s="18">
        <v>0.0</v>
      </c>
      <c r="S141" s="18">
        <v>1.78</v>
      </c>
      <c r="T141" s="18">
        <v>0.0</v>
      </c>
      <c r="U141" s="18">
        <v>0.56</v>
      </c>
      <c r="V141" s="18">
        <f>sum(P141:U141)+0.22</f>
        <v>4.21</v>
      </c>
    </row>
    <row r="142">
      <c r="A142" s="6" t="s">
        <v>84</v>
      </c>
      <c r="B142" s="6" t="s">
        <v>23</v>
      </c>
      <c r="C142" s="3" t="s">
        <v>138</v>
      </c>
      <c r="D142" s="6" t="s">
        <v>166</v>
      </c>
      <c r="E142" s="5"/>
      <c r="F142" s="17" t="s">
        <v>169</v>
      </c>
      <c r="G142" s="6" t="s">
        <v>169</v>
      </c>
      <c r="H142" s="6" t="s">
        <v>168</v>
      </c>
      <c r="I142" s="18">
        <v>24.35</v>
      </c>
      <c r="J142" s="18">
        <v>2.23</v>
      </c>
      <c r="K142" s="3">
        <v>2.39</v>
      </c>
      <c r="L142" s="18">
        <v>0.54</v>
      </c>
      <c r="M142" s="18">
        <v>12.42</v>
      </c>
      <c r="N142" s="18">
        <v>0.08</v>
      </c>
      <c r="O142" s="18">
        <f>sum(I142:N142)+0.39</f>
        <v>42.4</v>
      </c>
      <c r="P142" s="18">
        <v>2.08</v>
      </c>
      <c r="Q142" s="18">
        <v>0.0</v>
      </c>
      <c r="R142" s="18">
        <v>0.0</v>
      </c>
      <c r="S142" s="18">
        <v>1.56</v>
      </c>
      <c r="T142" s="18">
        <v>0.0</v>
      </c>
      <c r="U142" s="18">
        <v>0.3</v>
      </c>
      <c r="V142" s="18">
        <f>sum(P142:U142)+0.3</f>
        <v>4.24</v>
      </c>
    </row>
    <row r="143">
      <c r="A143" s="6" t="s">
        <v>84</v>
      </c>
      <c r="B143" s="6" t="s">
        <v>23</v>
      </c>
      <c r="C143" s="3" t="s">
        <v>138</v>
      </c>
      <c r="D143" s="6" t="s">
        <v>166</v>
      </c>
      <c r="E143" s="5"/>
      <c r="F143" s="17" t="s">
        <v>169</v>
      </c>
      <c r="G143" s="6" t="s">
        <v>169</v>
      </c>
      <c r="H143" s="6" t="s">
        <v>168</v>
      </c>
      <c r="I143" s="18">
        <v>23.58</v>
      </c>
      <c r="J143" s="18">
        <v>1.96</v>
      </c>
      <c r="K143" s="18">
        <v>2.01</v>
      </c>
      <c r="L143" s="18">
        <v>0.35</v>
      </c>
      <c r="M143" s="18">
        <v>13.02</v>
      </c>
      <c r="N143" s="18">
        <v>0.08</v>
      </c>
      <c r="O143" s="18">
        <f>sum(I143:N143)+0.34</f>
        <v>41.34</v>
      </c>
      <c r="P143" s="18">
        <v>1.67</v>
      </c>
      <c r="Q143" s="18">
        <v>0.0</v>
      </c>
      <c r="R143" s="18">
        <v>0.0</v>
      </c>
      <c r="S143" s="18">
        <v>1.2</v>
      </c>
      <c r="T143" s="18">
        <v>0.0</v>
      </c>
      <c r="U143" s="18">
        <v>0.08</v>
      </c>
      <c r="V143" s="18">
        <f>sum(P143:U143)+0.18</f>
        <v>3.13</v>
      </c>
    </row>
    <row r="144">
      <c r="A144" s="6" t="s">
        <v>84</v>
      </c>
      <c r="B144" s="6" t="s">
        <v>63</v>
      </c>
      <c r="C144" s="3" t="s">
        <v>138</v>
      </c>
      <c r="D144" s="6" t="s">
        <v>170</v>
      </c>
      <c r="E144" s="5"/>
      <c r="F144" s="17" t="s">
        <v>171</v>
      </c>
      <c r="G144" s="6" t="s">
        <v>171</v>
      </c>
      <c r="H144" s="6" t="s">
        <v>158</v>
      </c>
      <c r="I144" s="18">
        <v>13.57</v>
      </c>
      <c r="J144" s="18">
        <v>0.96</v>
      </c>
      <c r="K144" s="18">
        <v>1.61</v>
      </c>
      <c r="L144" s="18">
        <v>0.88</v>
      </c>
      <c r="M144" s="3">
        <v>17.14</v>
      </c>
      <c r="N144" s="18">
        <v>0.78</v>
      </c>
      <c r="O144" s="18">
        <v>35.39</v>
      </c>
      <c r="P144" s="18">
        <v>1.29</v>
      </c>
      <c r="Q144" s="18">
        <v>0.0</v>
      </c>
      <c r="R144" s="18">
        <v>0.05</v>
      </c>
      <c r="S144" s="18">
        <v>4.48</v>
      </c>
      <c r="T144" s="18">
        <v>0.0</v>
      </c>
      <c r="U144" s="18">
        <v>0.91</v>
      </c>
      <c r="V144" s="18">
        <v>8.05</v>
      </c>
    </row>
    <row r="145">
      <c r="A145" s="6" t="s">
        <v>84</v>
      </c>
      <c r="B145" s="6" t="s">
        <v>63</v>
      </c>
      <c r="C145" s="3" t="s">
        <v>138</v>
      </c>
      <c r="D145" s="6" t="s">
        <v>172</v>
      </c>
      <c r="E145" s="5"/>
      <c r="F145" s="17" t="s">
        <v>171</v>
      </c>
      <c r="G145" s="6" t="s">
        <v>171</v>
      </c>
      <c r="H145" s="6" t="s">
        <v>158</v>
      </c>
      <c r="I145" s="18">
        <v>12.14</v>
      </c>
      <c r="J145" s="18">
        <v>0.56</v>
      </c>
      <c r="K145" s="18">
        <v>1.36</v>
      </c>
      <c r="L145" s="18">
        <v>0.51</v>
      </c>
      <c r="M145" s="3">
        <v>17.69</v>
      </c>
      <c r="N145" s="18">
        <v>0.93</v>
      </c>
      <c r="O145" s="18">
        <v>33.57</v>
      </c>
      <c r="P145" s="18">
        <v>1.66</v>
      </c>
      <c r="Q145" s="18">
        <v>0.15</v>
      </c>
      <c r="R145" s="18">
        <v>0.15</v>
      </c>
      <c r="S145" s="18">
        <v>1.75</v>
      </c>
      <c r="T145" s="18">
        <v>0.0</v>
      </c>
      <c r="U145" s="18">
        <v>0.19</v>
      </c>
      <c r="V145" s="18">
        <v>5.26</v>
      </c>
    </row>
    <row r="146">
      <c r="A146" s="6" t="s">
        <v>84</v>
      </c>
      <c r="B146" s="6" t="s">
        <v>63</v>
      </c>
      <c r="C146" s="3" t="s">
        <v>138</v>
      </c>
      <c r="D146" s="6" t="s">
        <v>173</v>
      </c>
      <c r="E146" s="5"/>
      <c r="F146" s="17" t="s">
        <v>171</v>
      </c>
      <c r="G146" s="6" t="s">
        <v>171</v>
      </c>
      <c r="H146" s="6" t="s">
        <v>158</v>
      </c>
      <c r="I146" s="18">
        <v>13.98</v>
      </c>
      <c r="J146" s="18">
        <v>0.61</v>
      </c>
      <c r="K146" s="18">
        <v>0.69</v>
      </c>
      <c r="L146" s="18">
        <v>0.44</v>
      </c>
      <c r="M146" s="3">
        <v>15.87</v>
      </c>
      <c r="N146" s="18">
        <v>0.8</v>
      </c>
      <c r="O146" s="18">
        <v>32.69</v>
      </c>
      <c r="P146" s="18">
        <v>1.49</v>
      </c>
      <c r="Q146" s="18">
        <v>0.14</v>
      </c>
      <c r="R146" s="18">
        <v>0.26</v>
      </c>
      <c r="S146" s="18">
        <v>3.48</v>
      </c>
      <c r="T146" s="18">
        <v>0.0</v>
      </c>
      <c r="U146" s="18">
        <v>0.36</v>
      </c>
      <c r="V146" s="18">
        <v>7.1</v>
      </c>
    </row>
    <row r="147">
      <c r="A147" s="6" t="s">
        <v>84</v>
      </c>
      <c r="B147" s="6" t="s">
        <v>63</v>
      </c>
      <c r="C147" s="3" t="s">
        <v>138</v>
      </c>
      <c r="D147" s="6" t="s">
        <v>174</v>
      </c>
      <c r="E147" s="5"/>
      <c r="F147" s="17" t="s">
        <v>171</v>
      </c>
      <c r="G147" s="6" t="s">
        <v>171</v>
      </c>
      <c r="H147" s="6" t="s">
        <v>158</v>
      </c>
      <c r="I147" s="18">
        <v>4.53</v>
      </c>
      <c r="J147" s="18">
        <v>1.69</v>
      </c>
      <c r="K147" s="18">
        <v>0.76</v>
      </c>
      <c r="L147" s="18">
        <v>0.34</v>
      </c>
      <c r="M147" s="3">
        <v>16.02</v>
      </c>
      <c r="N147" s="18">
        <v>0.73</v>
      </c>
      <c r="O147" s="18">
        <v>24.66</v>
      </c>
      <c r="P147" s="18">
        <v>1.99</v>
      </c>
      <c r="Q147" s="18">
        <v>0.39</v>
      </c>
      <c r="R147" s="18">
        <v>0.46</v>
      </c>
      <c r="S147" s="18">
        <v>5.87</v>
      </c>
      <c r="T147" s="18">
        <v>0.0</v>
      </c>
      <c r="U147" s="18">
        <v>0.52</v>
      </c>
      <c r="V147" s="18">
        <v>10.68</v>
      </c>
    </row>
    <row r="148">
      <c r="A148" s="6" t="s">
        <v>84</v>
      </c>
      <c r="B148" s="6" t="s">
        <v>63</v>
      </c>
      <c r="C148" s="3" t="s">
        <v>138</v>
      </c>
      <c r="D148" s="6" t="s">
        <v>175</v>
      </c>
      <c r="E148" s="5"/>
      <c r="F148" s="17" t="s">
        <v>171</v>
      </c>
      <c r="G148" s="6" t="s">
        <v>171</v>
      </c>
      <c r="H148" s="6" t="s">
        <v>158</v>
      </c>
      <c r="I148" s="18">
        <v>8.81</v>
      </c>
      <c r="J148" s="18">
        <v>0.64</v>
      </c>
      <c r="K148" s="18">
        <v>0.85</v>
      </c>
      <c r="L148" s="18">
        <v>0.32</v>
      </c>
      <c r="M148" s="3">
        <v>16.1</v>
      </c>
      <c r="N148" s="18">
        <v>0.45</v>
      </c>
      <c r="O148" s="18">
        <v>27.39</v>
      </c>
      <c r="P148" s="18">
        <v>2.06</v>
      </c>
      <c r="Q148" s="18">
        <v>0.14</v>
      </c>
      <c r="R148" s="18">
        <v>0.17</v>
      </c>
      <c r="S148" s="18">
        <v>2.8</v>
      </c>
      <c r="T148" s="18">
        <v>0.0</v>
      </c>
      <c r="U148" s="18">
        <v>0.18</v>
      </c>
      <c r="V148" s="18">
        <v>6.59</v>
      </c>
    </row>
    <row r="149">
      <c r="A149" s="6" t="s">
        <v>84</v>
      </c>
      <c r="B149" s="6" t="s">
        <v>63</v>
      </c>
      <c r="C149" s="3" t="s">
        <v>138</v>
      </c>
      <c r="D149" s="6" t="s">
        <v>176</v>
      </c>
      <c r="E149" s="5"/>
      <c r="F149" s="17" t="s">
        <v>171</v>
      </c>
      <c r="G149" s="6" t="s">
        <v>171</v>
      </c>
      <c r="H149" s="6" t="s">
        <v>158</v>
      </c>
      <c r="I149" s="18">
        <v>2.08</v>
      </c>
      <c r="J149" s="18">
        <v>5.92</v>
      </c>
      <c r="K149" s="18">
        <v>2.38</v>
      </c>
      <c r="L149" s="18">
        <v>0.75</v>
      </c>
      <c r="M149" s="3">
        <v>8.9</v>
      </c>
      <c r="N149" s="18">
        <v>1.44</v>
      </c>
      <c r="O149" s="18">
        <v>22.36</v>
      </c>
      <c r="P149" s="18">
        <v>4.11</v>
      </c>
      <c r="Q149" s="18">
        <v>0.41</v>
      </c>
      <c r="R149" s="18">
        <v>0.51</v>
      </c>
      <c r="S149" s="18">
        <v>5.43</v>
      </c>
      <c r="T149" s="18">
        <v>0.0</v>
      </c>
      <c r="U149" s="18">
        <v>0.18</v>
      </c>
      <c r="V149" s="18">
        <v>11.77</v>
      </c>
    </row>
    <row r="150">
      <c r="A150" s="6" t="s">
        <v>84</v>
      </c>
      <c r="B150" s="6" t="s">
        <v>63</v>
      </c>
      <c r="C150" s="3" t="s">
        <v>138</v>
      </c>
      <c r="D150" s="6" t="s">
        <v>177</v>
      </c>
      <c r="E150" s="5"/>
      <c r="F150" s="17" t="s">
        <v>171</v>
      </c>
      <c r="G150" s="6" t="s">
        <v>171</v>
      </c>
      <c r="H150" s="6" t="s">
        <v>158</v>
      </c>
      <c r="I150" s="18">
        <v>11.84</v>
      </c>
      <c r="J150" s="18">
        <v>0.73</v>
      </c>
      <c r="K150" s="18">
        <v>1.8</v>
      </c>
      <c r="L150" s="18">
        <v>0.55</v>
      </c>
      <c r="M150" s="3">
        <v>17.67</v>
      </c>
      <c r="N150" s="18">
        <v>0.72</v>
      </c>
      <c r="O150" s="18">
        <v>33.63</v>
      </c>
      <c r="P150" s="18">
        <v>1.96</v>
      </c>
      <c r="Q150" s="18">
        <v>0.14</v>
      </c>
      <c r="R150" s="18">
        <v>0.22</v>
      </c>
      <c r="S150" s="18">
        <v>2.14</v>
      </c>
      <c r="T150" s="18">
        <v>0.0</v>
      </c>
      <c r="U150" s="18">
        <v>0.11</v>
      </c>
      <c r="V150" s="18">
        <v>5.78</v>
      </c>
    </row>
    <row r="151">
      <c r="A151" s="6" t="s">
        <v>22</v>
      </c>
      <c r="B151" s="6" t="s">
        <v>63</v>
      </c>
      <c r="C151" s="3" t="s">
        <v>138</v>
      </c>
      <c r="D151" s="6" t="s">
        <v>178</v>
      </c>
      <c r="E151" s="5"/>
      <c r="F151" s="17" t="s">
        <v>171</v>
      </c>
      <c r="G151" s="6" t="s">
        <v>171</v>
      </c>
      <c r="H151" s="6" t="s">
        <v>158</v>
      </c>
      <c r="I151" s="18">
        <v>0.86</v>
      </c>
      <c r="J151" s="18">
        <v>4.65</v>
      </c>
      <c r="K151" s="18">
        <v>0.15</v>
      </c>
      <c r="L151" s="18">
        <v>0.08</v>
      </c>
      <c r="M151" s="3">
        <v>8.52</v>
      </c>
      <c r="N151" s="18">
        <v>0.66</v>
      </c>
      <c r="O151" s="18">
        <v>15.51</v>
      </c>
      <c r="P151" s="18">
        <v>9.8</v>
      </c>
      <c r="Q151" s="18">
        <v>0.13</v>
      </c>
      <c r="R151" s="18">
        <v>0.18</v>
      </c>
      <c r="S151" s="18">
        <v>2.36</v>
      </c>
      <c r="T151" s="18">
        <v>0.0</v>
      </c>
      <c r="U151" s="18">
        <v>0.07</v>
      </c>
      <c r="V151" s="18">
        <v>13.89</v>
      </c>
    </row>
    <row r="152">
      <c r="A152" s="6" t="s">
        <v>84</v>
      </c>
      <c r="B152" s="6" t="s">
        <v>23</v>
      </c>
      <c r="C152" s="3" t="s">
        <v>138</v>
      </c>
      <c r="D152" s="6" t="s">
        <v>179</v>
      </c>
      <c r="E152" s="5"/>
      <c r="F152" s="17" t="s">
        <v>180</v>
      </c>
      <c r="G152" s="6" t="s">
        <v>180</v>
      </c>
      <c r="H152" s="6" t="s">
        <v>168</v>
      </c>
      <c r="I152" s="18">
        <v>13.7</v>
      </c>
      <c r="J152" s="18">
        <v>1.2</v>
      </c>
      <c r="K152" s="18">
        <v>0.1</v>
      </c>
      <c r="L152" s="18">
        <v>0.1</v>
      </c>
      <c r="M152" s="18">
        <v>18.9</v>
      </c>
      <c r="N152" s="18">
        <v>0.2</v>
      </c>
      <c r="O152" s="18">
        <f t="shared" ref="O152:O153" si="7">sum(I152:N152)+0.2</f>
        <v>34.4</v>
      </c>
      <c r="P152" s="18">
        <v>3.9</v>
      </c>
      <c r="Q152" s="18">
        <v>0.3</v>
      </c>
      <c r="R152" s="18">
        <v>0.2</v>
      </c>
      <c r="S152" s="18">
        <v>4.3</v>
      </c>
      <c r="T152" s="18">
        <v>0.0</v>
      </c>
      <c r="U152" s="18">
        <v>1.1</v>
      </c>
      <c r="V152" s="18">
        <f>sum(P152:U152)+0.5</f>
        <v>10.3</v>
      </c>
    </row>
    <row r="153">
      <c r="A153" s="6" t="s">
        <v>84</v>
      </c>
      <c r="B153" s="6" t="s">
        <v>23</v>
      </c>
      <c r="C153" s="3" t="s">
        <v>138</v>
      </c>
      <c r="D153" s="6" t="s">
        <v>179</v>
      </c>
      <c r="E153" s="5"/>
      <c r="F153" s="17" t="s">
        <v>180</v>
      </c>
      <c r="G153" s="6" t="s">
        <v>180</v>
      </c>
      <c r="H153" s="6" t="s">
        <v>168</v>
      </c>
      <c r="I153" s="18">
        <v>5.2</v>
      </c>
      <c r="J153" s="18">
        <v>2.2</v>
      </c>
      <c r="K153" s="18">
        <v>0.7</v>
      </c>
      <c r="L153" s="18">
        <v>0.3</v>
      </c>
      <c r="M153" s="18">
        <v>12.4</v>
      </c>
      <c r="N153" s="18">
        <v>0.3</v>
      </c>
      <c r="O153" s="18">
        <f t="shared" si="7"/>
        <v>21.3</v>
      </c>
      <c r="P153" s="18">
        <v>3.4</v>
      </c>
      <c r="Q153" s="18">
        <v>0.5</v>
      </c>
      <c r="R153" s="18">
        <v>0.2</v>
      </c>
      <c r="S153" s="18">
        <v>2.1</v>
      </c>
      <c r="T153" s="18">
        <v>0.0</v>
      </c>
      <c r="U153" s="18">
        <v>0.4</v>
      </c>
      <c r="V153" s="18">
        <f t="shared" ref="V153:V154" si="8">sum(P153:U153)+0.3</f>
        <v>6.9</v>
      </c>
    </row>
    <row r="154">
      <c r="A154" s="6" t="s">
        <v>84</v>
      </c>
      <c r="B154" s="6" t="s">
        <v>23</v>
      </c>
      <c r="C154" s="3" t="s">
        <v>138</v>
      </c>
      <c r="D154" s="6" t="s">
        <v>179</v>
      </c>
      <c r="E154" s="5"/>
      <c r="F154" s="17" t="s">
        <v>180</v>
      </c>
      <c r="G154" s="6" t="s">
        <v>180</v>
      </c>
      <c r="H154" s="6" t="s">
        <v>168</v>
      </c>
      <c r="I154" s="18">
        <v>11.2</v>
      </c>
      <c r="J154" s="18">
        <v>1.1</v>
      </c>
      <c r="K154" s="18">
        <v>0.1</v>
      </c>
      <c r="L154" s="18">
        <v>0.1</v>
      </c>
      <c r="M154" s="18">
        <v>18.7</v>
      </c>
      <c r="N154" s="18">
        <v>0.1</v>
      </c>
      <c r="O154" s="18">
        <f t="shared" ref="O154:O156" si="9">sum(I154:N154)+0.1</f>
        <v>31.4</v>
      </c>
      <c r="P154" s="18">
        <v>2.9</v>
      </c>
      <c r="Q154" s="18">
        <v>0.3</v>
      </c>
      <c r="R154" s="18">
        <v>0.0</v>
      </c>
      <c r="S154" s="18">
        <v>3.6</v>
      </c>
      <c r="T154" s="18">
        <v>0.0</v>
      </c>
      <c r="U154" s="18">
        <v>0.7</v>
      </c>
      <c r="V154" s="18">
        <f t="shared" si="8"/>
        <v>7.8</v>
      </c>
    </row>
    <row r="155">
      <c r="A155" s="6" t="s">
        <v>84</v>
      </c>
      <c r="B155" s="6" t="s">
        <v>23</v>
      </c>
      <c r="C155" s="3" t="s">
        <v>138</v>
      </c>
      <c r="D155" s="6" t="s">
        <v>179</v>
      </c>
      <c r="E155" s="5"/>
      <c r="F155" s="17" t="s">
        <v>180</v>
      </c>
      <c r="G155" s="6" t="s">
        <v>180</v>
      </c>
      <c r="H155" s="6" t="s">
        <v>168</v>
      </c>
      <c r="I155" s="18">
        <v>19.8</v>
      </c>
      <c r="J155" s="18">
        <v>1.2</v>
      </c>
      <c r="K155" s="18">
        <v>0.0</v>
      </c>
      <c r="L155" s="18">
        <v>0.0</v>
      </c>
      <c r="M155" s="18">
        <v>23.3</v>
      </c>
      <c r="N155" s="18">
        <v>0.2</v>
      </c>
      <c r="O155" s="18">
        <f t="shared" si="9"/>
        <v>44.6</v>
      </c>
      <c r="P155" s="18">
        <v>3.0</v>
      </c>
      <c r="Q155" s="18">
        <v>0.2</v>
      </c>
      <c r="R155" s="18">
        <v>0.0</v>
      </c>
      <c r="S155" s="18">
        <v>5.4</v>
      </c>
      <c r="T155" s="18">
        <v>0.0</v>
      </c>
      <c r="U155" s="18">
        <v>1.3</v>
      </c>
      <c r="V155" s="18">
        <f>sum(P155:U155)+0.5</f>
        <v>10.4</v>
      </c>
    </row>
    <row r="156">
      <c r="A156" s="6" t="s">
        <v>84</v>
      </c>
      <c r="B156" s="6" t="s">
        <v>23</v>
      </c>
      <c r="C156" s="3" t="s">
        <v>138</v>
      </c>
      <c r="D156" s="6" t="s">
        <v>179</v>
      </c>
      <c r="E156" s="5"/>
      <c r="F156" s="17" t="s">
        <v>180</v>
      </c>
      <c r="G156" s="6" t="s">
        <v>180</v>
      </c>
      <c r="H156" s="6" t="s">
        <v>168</v>
      </c>
      <c r="I156" s="18">
        <v>21.1</v>
      </c>
      <c r="J156" s="18">
        <v>0.7</v>
      </c>
      <c r="K156" s="18">
        <v>0.1</v>
      </c>
      <c r="L156" s="18">
        <v>0.1</v>
      </c>
      <c r="M156" s="18">
        <v>25.1</v>
      </c>
      <c r="N156" s="18">
        <v>0.3</v>
      </c>
      <c r="O156" s="18">
        <f t="shared" si="9"/>
        <v>47.5</v>
      </c>
      <c r="P156" s="18">
        <v>2.4</v>
      </c>
      <c r="Q156" s="18">
        <v>0.4</v>
      </c>
      <c r="R156" s="18">
        <v>0.1</v>
      </c>
      <c r="S156" s="18">
        <v>7.2</v>
      </c>
      <c r="T156" s="18">
        <v>0.0</v>
      </c>
      <c r="U156" s="18">
        <v>1.6</v>
      </c>
      <c r="V156" s="18">
        <f>sum(P156:U156)+0.4</f>
        <v>12.1</v>
      </c>
    </row>
    <row r="157">
      <c r="A157" s="6" t="s">
        <v>84</v>
      </c>
      <c r="B157" s="6" t="s">
        <v>23</v>
      </c>
      <c r="C157" s="3" t="s">
        <v>138</v>
      </c>
      <c r="D157" s="6" t="s">
        <v>179</v>
      </c>
      <c r="E157" s="5"/>
      <c r="F157" s="17" t="s">
        <v>180</v>
      </c>
      <c r="G157" s="6" t="s">
        <v>180</v>
      </c>
      <c r="H157" s="6" t="s">
        <v>168</v>
      </c>
      <c r="I157" s="18">
        <v>7.7</v>
      </c>
      <c r="J157" s="18">
        <v>1.5</v>
      </c>
      <c r="K157" s="18">
        <v>0.1</v>
      </c>
      <c r="L157" s="18">
        <v>0.1</v>
      </c>
      <c r="M157" s="18">
        <v>12.2</v>
      </c>
      <c r="N157" s="18">
        <v>0.2</v>
      </c>
      <c r="O157" s="18">
        <f>sum(I157:N157)+0.2</f>
        <v>22</v>
      </c>
      <c r="P157" s="18">
        <v>5.6</v>
      </c>
      <c r="Q157" s="18">
        <v>0.3</v>
      </c>
      <c r="R157" s="18">
        <v>0.1</v>
      </c>
      <c r="S157" s="18">
        <v>2.8</v>
      </c>
      <c r="T157" s="18">
        <v>0.0</v>
      </c>
      <c r="U157" s="18">
        <v>0.6</v>
      </c>
      <c r="V157" s="18">
        <f>sum(P157:U157)+0.5</f>
        <v>9.9</v>
      </c>
    </row>
    <row r="158">
      <c r="A158" s="6" t="s">
        <v>84</v>
      </c>
      <c r="B158" s="6" t="s">
        <v>63</v>
      </c>
      <c r="C158" s="3" t="s">
        <v>138</v>
      </c>
      <c r="D158" s="19" t="s">
        <v>181</v>
      </c>
      <c r="E158" s="5"/>
      <c r="F158" s="17" t="s">
        <v>182</v>
      </c>
      <c r="G158" s="6" t="s">
        <v>182</v>
      </c>
      <c r="H158" s="6" t="s">
        <v>158</v>
      </c>
      <c r="I158" s="18">
        <v>3.7</v>
      </c>
      <c r="J158" s="18"/>
      <c r="K158" s="18"/>
      <c r="L158" s="18"/>
      <c r="M158" s="18">
        <v>12.2</v>
      </c>
      <c r="N158" s="18"/>
      <c r="O158" s="18"/>
      <c r="P158" s="18"/>
      <c r="Q158" s="18"/>
      <c r="R158" s="18"/>
      <c r="S158" s="18"/>
      <c r="T158" s="18"/>
      <c r="U158" s="18"/>
      <c r="V158" s="18"/>
    </row>
    <row r="159">
      <c r="A159" s="6" t="s">
        <v>84</v>
      </c>
      <c r="B159" s="6" t="s">
        <v>63</v>
      </c>
      <c r="C159" s="3" t="s">
        <v>138</v>
      </c>
      <c r="D159" s="19" t="s">
        <v>183</v>
      </c>
      <c r="E159" s="5"/>
      <c r="F159" s="17" t="s">
        <v>182</v>
      </c>
      <c r="G159" s="6" t="s">
        <v>182</v>
      </c>
      <c r="H159" s="6" t="s">
        <v>158</v>
      </c>
      <c r="I159" s="18">
        <v>2.0</v>
      </c>
      <c r="J159" s="18"/>
      <c r="K159" s="18"/>
      <c r="L159" s="18"/>
      <c r="M159" s="18">
        <v>6.6</v>
      </c>
      <c r="N159" s="18"/>
      <c r="O159" s="18"/>
      <c r="P159" s="18"/>
      <c r="Q159" s="18"/>
      <c r="R159" s="18"/>
      <c r="S159" s="18"/>
      <c r="T159" s="18"/>
      <c r="U159" s="18"/>
      <c r="V159" s="18"/>
    </row>
    <row r="160">
      <c r="A160" s="6" t="s">
        <v>84</v>
      </c>
      <c r="B160" s="6" t="s">
        <v>63</v>
      </c>
      <c r="C160" s="3" t="s">
        <v>138</v>
      </c>
      <c r="D160" s="6" t="s">
        <v>184</v>
      </c>
      <c r="E160" s="5"/>
      <c r="F160" s="17" t="s">
        <v>182</v>
      </c>
      <c r="G160" s="6" t="s">
        <v>182</v>
      </c>
      <c r="H160" s="6" t="s">
        <v>158</v>
      </c>
      <c r="I160" s="18">
        <v>7.1</v>
      </c>
      <c r="J160" s="18"/>
      <c r="K160" s="18"/>
      <c r="L160" s="18"/>
      <c r="M160" s="18">
        <v>14.0</v>
      </c>
      <c r="N160" s="18"/>
      <c r="O160" s="18"/>
      <c r="P160" s="18"/>
      <c r="Q160" s="18"/>
      <c r="R160" s="18"/>
      <c r="S160" s="18"/>
      <c r="T160" s="18"/>
      <c r="U160" s="18"/>
      <c r="V160" s="18"/>
    </row>
    <row r="161">
      <c r="A161" s="6" t="s">
        <v>84</v>
      </c>
      <c r="B161" s="6" t="s">
        <v>63</v>
      </c>
      <c r="C161" s="3" t="s">
        <v>138</v>
      </c>
      <c r="D161" s="6" t="s">
        <v>185</v>
      </c>
      <c r="E161" s="5"/>
      <c r="F161" s="17" t="s">
        <v>182</v>
      </c>
      <c r="G161" s="6" t="s">
        <v>182</v>
      </c>
      <c r="H161" s="6" t="s">
        <v>158</v>
      </c>
      <c r="I161" s="18">
        <v>1.9</v>
      </c>
      <c r="J161" s="18"/>
      <c r="K161" s="18"/>
      <c r="L161" s="18"/>
      <c r="M161" s="18">
        <v>5.4</v>
      </c>
      <c r="N161" s="18"/>
      <c r="O161" s="18"/>
      <c r="P161" s="18"/>
      <c r="Q161" s="18"/>
      <c r="R161" s="18"/>
      <c r="S161" s="18"/>
      <c r="T161" s="18"/>
      <c r="U161" s="18"/>
      <c r="V161" s="18"/>
    </row>
    <row r="162">
      <c r="A162" s="6" t="s">
        <v>84</v>
      </c>
      <c r="B162" s="6" t="s">
        <v>63</v>
      </c>
      <c r="C162" s="3" t="s">
        <v>138</v>
      </c>
      <c r="D162" s="6" t="s">
        <v>186</v>
      </c>
      <c r="E162" s="5"/>
      <c r="F162" s="17" t="s">
        <v>182</v>
      </c>
      <c r="G162" s="6" t="s">
        <v>182</v>
      </c>
      <c r="H162" s="6" t="s">
        <v>158</v>
      </c>
      <c r="I162" s="18">
        <v>2.1</v>
      </c>
      <c r="J162" s="18"/>
      <c r="K162" s="18"/>
      <c r="L162" s="18"/>
      <c r="M162" s="18">
        <v>10.4</v>
      </c>
      <c r="N162" s="18"/>
      <c r="O162" s="18"/>
      <c r="P162" s="18"/>
      <c r="Q162" s="18"/>
      <c r="R162" s="18"/>
      <c r="S162" s="18"/>
      <c r="T162" s="18"/>
      <c r="U162" s="18"/>
      <c r="V162" s="18"/>
    </row>
    <row r="163">
      <c r="A163" s="6" t="s">
        <v>84</v>
      </c>
      <c r="B163" s="6" t="s">
        <v>63</v>
      </c>
      <c r="C163" s="3" t="s">
        <v>138</v>
      </c>
      <c r="D163" s="6" t="s">
        <v>187</v>
      </c>
      <c r="E163" s="5"/>
      <c r="F163" s="17" t="s">
        <v>182</v>
      </c>
      <c r="G163" s="6" t="s">
        <v>182</v>
      </c>
      <c r="H163" s="6" t="s">
        <v>158</v>
      </c>
      <c r="I163" s="18">
        <v>0.7</v>
      </c>
      <c r="J163" s="18"/>
      <c r="K163" s="18"/>
      <c r="L163" s="18"/>
      <c r="M163" s="18">
        <v>4.0</v>
      </c>
      <c r="N163" s="18"/>
      <c r="O163" s="18"/>
      <c r="P163" s="18"/>
      <c r="Q163" s="18"/>
      <c r="R163" s="18"/>
      <c r="S163" s="18"/>
      <c r="T163" s="18"/>
      <c r="U163" s="18"/>
      <c r="V163" s="18"/>
    </row>
    <row r="164">
      <c r="A164" s="6" t="s">
        <v>84</v>
      </c>
      <c r="B164" s="6" t="s">
        <v>63</v>
      </c>
      <c r="C164" s="3" t="s">
        <v>138</v>
      </c>
      <c r="D164" s="6" t="s">
        <v>188</v>
      </c>
      <c r="E164" s="5"/>
      <c r="F164" s="17" t="s">
        <v>182</v>
      </c>
      <c r="G164" s="6" t="s">
        <v>182</v>
      </c>
      <c r="H164" s="6" t="s">
        <v>189</v>
      </c>
      <c r="I164" s="18">
        <v>2.9</v>
      </c>
      <c r="J164" s="18"/>
      <c r="K164" s="18"/>
      <c r="L164" s="18"/>
      <c r="M164" s="18">
        <v>21.5</v>
      </c>
      <c r="N164" s="18"/>
      <c r="O164" s="18"/>
      <c r="P164" s="18"/>
      <c r="Q164" s="18"/>
      <c r="R164" s="18"/>
      <c r="S164" s="18"/>
      <c r="T164" s="18"/>
      <c r="U164" s="18"/>
      <c r="V164" s="18"/>
    </row>
    <row r="165">
      <c r="A165" s="6" t="s">
        <v>84</v>
      </c>
      <c r="B165" s="6" t="s">
        <v>63</v>
      </c>
      <c r="C165" s="3" t="s">
        <v>138</v>
      </c>
      <c r="D165" s="6" t="s">
        <v>190</v>
      </c>
      <c r="E165" s="5"/>
      <c r="F165" s="17" t="s">
        <v>182</v>
      </c>
      <c r="G165" s="6" t="s">
        <v>182</v>
      </c>
      <c r="H165" s="6" t="s">
        <v>148</v>
      </c>
      <c r="I165" s="18">
        <v>9.3</v>
      </c>
      <c r="J165" s="18"/>
      <c r="K165" s="18"/>
      <c r="L165" s="18"/>
      <c r="M165" s="18">
        <v>2.2</v>
      </c>
      <c r="N165" s="18"/>
      <c r="O165" s="18"/>
      <c r="P165" s="18"/>
      <c r="Q165" s="18"/>
      <c r="R165" s="18"/>
      <c r="S165" s="18"/>
      <c r="T165" s="18"/>
      <c r="U165" s="18"/>
      <c r="V165" s="18"/>
    </row>
    <row r="166">
      <c r="A166" s="6" t="s">
        <v>84</v>
      </c>
      <c r="B166" s="6" t="s">
        <v>23</v>
      </c>
      <c r="C166" s="3" t="s">
        <v>138</v>
      </c>
      <c r="D166" s="6" t="s">
        <v>191</v>
      </c>
      <c r="E166" s="5"/>
      <c r="F166" s="17" t="s">
        <v>182</v>
      </c>
      <c r="G166" s="6" t="s">
        <v>182</v>
      </c>
      <c r="H166" s="6" t="s">
        <v>168</v>
      </c>
      <c r="I166" s="18">
        <v>6.8</v>
      </c>
      <c r="J166" s="18"/>
      <c r="K166" s="18"/>
      <c r="L166" s="18"/>
      <c r="M166" s="18">
        <v>14.3</v>
      </c>
      <c r="N166" s="18"/>
      <c r="O166" s="18"/>
      <c r="P166" s="18"/>
      <c r="Q166" s="18"/>
      <c r="R166" s="18"/>
      <c r="S166" s="18"/>
      <c r="T166" s="18"/>
      <c r="U166" s="18"/>
      <c r="V166" s="18"/>
    </row>
    <row r="167">
      <c r="A167" s="6" t="s">
        <v>84</v>
      </c>
      <c r="B167" s="6" t="s">
        <v>23</v>
      </c>
      <c r="C167" s="3" t="s">
        <v>138</v>
      </c>
      <c r="D167" s="6" t="s">
        <v>142</v>
      </c>
      <c r="E167" s="5"/>
      <c r="F167" s="17" t="s">
        <v>182</v>
      </c>
      <c r="G167" s="6" t="s">
        <v>182</v>
      </c>
      <c r="H167" s="6" t="s">
        <v>141</v>
      </c>
      <c r="I167" s="18">
        <v>4.7</v>
      </c>
      <c r="J167" s="18"/>
      <c r="K167" s="18"/>
      <c r="L167" s="18"/>
      <c r="M167" s="18">
        <v>8.2</v>
      </c>
      <c r="N167" s="18"/>
      <c r="O167" s="18"/>
      <c r="P167" s="18"/>
      <c r="Q167" s="18"/>
      <c r="R167" s="18"/>
      <c r="S167" s="18"/>
      <c r="T167" s="18"/>
      <c r="U167" s="18"/>
      <c r="V167" s="18"/>
    </row>
    <row r="168">
      <c r="A168" s="6" t="s">
        <v>84</v>
      </c>
      <c r="B168" s="6" t="s">
        <v>23</v>
      </c>
      <c r="C168" s="3" t="s">
        <v>138</v>
      </c>
      <c r="D168" s="6" t="s">
        <v>192</v>
      </c>
      <c r="E168" s="5"/>
      <c r="F168" s="17" t="s">
        <v>193</v>
      </c>
      <c r="G168" s="6" t="s">
        <v>193</v>
      </c>
      <c r="H168" s="6" t="s">
        <v>141</v>
      </c>
      <c r="I168" s="18">
        <v>21.8</v>
      </c>
      <c r="J168" s="18">
        <v>1.3</v>
      </c>
      <c r="K168" s="18">
        <v>0.6</v>
      </c>
      <c r="L168" s="18">
        <v>0.3</v>
      </c>
      <c r="M168" s="18">
        <v>10.8</v>
      </c>
      <c r="N168" s="18">
        <v>0.2</v>
      </c>
      <c r="O168" s="18">
        <f>sum(I168:N168)</f>
        <v>35</v>
      </c>
      <c r="P168" s="18">
        <v>2.0</v>
      </c>
      <c r="Q168" s="18">
        <v>0.0</v>
      </c>
      <c r="R168" s="18">
        <v>0.0</v>
      </c>
      <c r="S168" s="18">
        <v>1.8</v>
      </c>
      <c r="T168" s="18">
        <v>1.8</v>
      </c>
      <c r="U168" s="18">
        <v>0.9</v>
      </c>
      <c r="V168" s="18">
        <v>5.3</v>
      </c>
    </row>
    <row r="169">
      <c r="A169" s="6" t="s">
        <v>84</v>
      </c>
      <c r="B169" s="6" t="s">
        <v>23</v>
      </c>
      <c r="C169" s="3" t="s">
        <v>138</v>
      </c>
      <c r="D169" s="6" t="s">
        <v>194</v>
      </c>
      <c r="E169" s="5"/>
      <c r="F169" s="17" t="s">
        <v>195</v>
      </c>
      <c r="G169" s="6" t="s">
        <v>195</v>
      </c>
      <c r="H169" s="6" t="s">
        <v>162</v>
      </c>
      <c r="I169" s="18">
        <v>6.1</v>
      </c>
      <c r="J169" s="18">
        <v>1.8</v>
      </c>
      <c r="K169" s="18">
        <v>6.3</v>
      </c>
      <c r="L169" s="18">
        <v>0.4</v>
      </c>
      <c r="M169" s="18">
        <v>15.0</v>
      </c>
      <c r="N169" s="18">
        <v>0.4</v>
      </c>
      <c r="O169" s="18">
        <v>30.3</v>
      </c>
      <c r="P169" s="18">
        <v>1.9</v>
      </c>
      <c r="Q169" s="18">
        <v>0.0</v>
      </c>
      <c r="R169" s="18">
        <v>0.0</v>
      </c>
      <c r="S169" s="18">
        <v>0.9</v>
      </c>
      <c r="T169" s="18">
        <v>0.0</v>
      </c>
      <c r="U169" s="18">
        <v>0.0</v>
      </c>
      <c r="V169" s="18">
        <v>3.2</v>
      </c>
    </row>
    <row r="170">
      <c r="A170" s="20" t="s">
        <v>22</v>
      </c>
      <c r="B170" s="6" t="s">
        <v>63</v>
      </c>
      <c r="C170" s="3" t="s">
        <v>138</v>
      </c>
      <c r="D170" s="20" t="s">
        <v>196</v>
      </c>
      <c r="E170" s="5"/>
      <c r="F170" s="20" t="s">
        <v>197</v>
      </c>
      <c r="G170" s="20" t="s">
        <v>197</v>
      </c>
      <c r="H170" s="20" t="s">
        <v>198</v>
      </c>
      <c r="I170" s="21">
        <v>1.8</v>
      </c>
      <c r="J170" s="21">
        <v>4.6</v>
      </c>
      <c r="K170" s="21">
        <v>1.4</v>
      </c>
      <c r="L170" s="21">
        <v>0.3</v>
      </c>
      <c r="M170" s="21">
        <v>9.8</v>
      </c>
      <c r="N170" s="21">
        <v>8.0</v>
      </c>
      <c r="O170" s="21"/>
      <c r="P170" s="21">
        <v>2.4</v>
      </c>
      <c r="Q170" s="21">
        <v>0.4</v>
      </c>
      <c r="R170" s="21">
        <v>0.1</v>
      </c>
      <c r="S170" s="21">
        <v>0.6</v>
      </c>
      <c r="T170" s="21">
        <v>0.8</v>
      </c>
      <c r="U170" s="21">
        <v>0.1</v>
      </c>
      <c r="V170" s="21"/>
    </row>
    <row r="171">
      <c r="A171" s="20" t="s">
        <v>22</v>
      </c>
      <c r="B171" s="6" t="s">
        <v>63</v>
      </c>
      <c r="C171" s="3" t="s">
        <v>138</v>
      </c>
      <c r="D171" s="20" t="s">
        <v>199</v>
      </c>
      <c r="E171" s="5"/>
      <c r="F171" s="20" t="s">
        <v>197</v>
      </c>
      <c r="G171" s="20" t="s">
        <v>197</v>
      </c>
      <c r="H171" s="20" t="s">
        <v>200</v>
      </c>
      <c r="I171" s="21">
        <v>7.2</v>
      </c>
      <c r="J171" s="21">
        <v>1.2</v>
      </c>
      <c r="K171" s="21">
        <v>0.6</v>
      </c>
      <c r="L171" s="21">
        <v>0.3</v>
      </c>
      <c r="M171" s="21">
        <v>5.0</v>
      </c>
      <c r="N171" s="21">
        <v>4.8</v>
      </c>
      <c r="O171" s="21"/>
      <c r="P171" s="21">
        <v>1.1</v>
      </c>
      <c r="Q171" s="21"/>
      <c r="R171" s="21">
        <v>0.4</v>
      </c>
      <c r="S171" s="21">
        <v>5.1</v>
      </c>
      <c r="T171" s="21">
        <v>1.1</v>
      </c>
      <c r="U171" s="21">
        <v>5.0</v>
      </c>
      <c r="V171" s="21"/>
    </row>
    <row r="172">
      <c r="A172" s="20" t="s">
        <v>22</v>
      </c>
      <c r="B172" s="6" t="s">
        <v>63</v>
      </c>
      <c r="C172" s="3" t="s">
        <v>138</v>
      </c>
      <c r="D172" s="20" t="s">
        <v>201</v>
      </c>
      <c r="E172" s="5"/>
      <c r="F172" s="20" t="s">
        <v>197</v>
      </c>
      <c r="G172" s="20" t="s">
        <v>197</v>
      </c>
      <c r="H172" s="20" t="s">
        <v>202</v>
      </c>
      <c r="I172" s="21">
        <v>7.6</v>
      </c>
      <c r="J172" s="21">
        <v>1.5</v>
      </c>
      <c r="K172" s="21">
        <v>0.6</v>
      </c>
      <c r="L172" s="21">
        <v>0.3</v>
      </c>
      <c r="M172" s="21">
        <v>8.3</v>
      </c>
      <c r="N172" s="21">
        <v>6.4</v>
      </c>
      <c r="O172" s="21"/>
      <c r="P172" s="21">
        <v>0.9</v>
      </c>
      <c r="Q172" s="21"/>
      <c r="R172" s="21">
        <v>0.4</v>
      </c>
      <c r="S172" s="21">
        <v>5.1</v>
      </c>
      <c r="T172" s="21">
        <v>1.7</v>
      </c>
      <c r="U172" s="21">
        <v>3.9</v>
      </c>
      <c r="V172" s="21"/>
    </row>
    <row r="173">
      <c r="A173" s="20" t="s">
        <v>22</v>
      </c>
      <c r="B173" s="6" t="s">
        <v>63</v>
      </c>
      <c r="C173" s="3" t="s">
        <v>138</v>
      </c>
      <c r="D173" s="20" t="s">
        <v>203</v>
      </c>
      <c r="E173" s="5"/>
      <c r="F173" s="20" t="s">
        <v>197</v>
      </c>
      <c r="G173" s="20" t="s">
        <v>197</v>
      </c>
      <c r="H173" s="20" t="s">
        <v>204</v>
      </c>
      <c r="I173" s="21">
        <v>1.1</v>
      </c>
      <c r="J173" s="21">
        <v>3.3</v>
      </c>
      <c r="K173" s="21">
        <v>0.9</v>
      </c>
      <c r="L173" s="21">
        <v>0.7</v>
      </c>
      <c r="M173" s="21">
        <v>15.0</v>
      </c>
      <c r="N173" s="21">
        <v>1.3</v>
      </c>
      <c r="O173" s="21"/>
      <c r="P173" s="21">
        <v>5.4</v>
      </c>
      <c r="Q173" s="21">
        <v>0.3</v>
      </c>
      <c r="R173" s="21">
        <v>0.6</v>
      </c>
      <c r="S173" s="21">
        <v>2.0</v>
      </c>
      <c r="T173" s="21">
        <v>0.5</v>
      </c>
      <c r="U173" s="21">
        <v>0.2</v>
      </c>
      <c r="V173" s="21"/>
    </row>
    <row r="174">
      <c r="A174" s="20" t="s">
        <v>22</v>
      </c>
      <c r="B174" s="6" t="s">
        <v>63</v>
      </c>
      <c r="C174" s="3" t="s">
        <v>138</v>
      </c>
      <c r="D174" s="20" t="s">
        <v>205</v>
      </c>
      <c r="E174" s="5"/>
      <c r="F174" s="20" t="s">
        <v>197</v>
      </c>
      <c r="G174" s="20" t="s">
        <v>197</v>
      </c>
      <c r="H174" s="20" t="s">
        <v>206</v>
      </c>
      <c r="I174" s="21">
        <v>2.2</v>
      </c>
      <c r="J174" s="21">
        <v>2.4</v>
      </c>
      <c r="K174" s="21">
        <v>0.9</v>
      </c>
      <c r="L174" s="21">
        <v>0.4</v>
      </c>
      <c r="M174" s="21">
        <v>15.4</v>
      </c>
      <c r="N174" s="21">
        <v>1.9</v>
      </c>
      <c r="O174" s="21"/>
      <c r="P174" s="21">
        <v>2.4</v>
      </c>
      <c r="Q174" s="21">
        <v>0.1</v>
      </c>
      <c r="R174" s="21">
        <v>0.2</v>
      </c>
      <c r="S174" s="21">
        <v>2.7</v>
      </c>
      <c r="T174" s="21">
        <v>0.6</v>
      </c>
      <c r="U174" s="21">
        <v>0.1</v>
      </c>
      <c r="V174" s="21"/>
    </row>
    <row r="175">
      <c r="A175" s="20" t="s">
        <v>22</v>
      </c>
      <c r="B175" s="6" t="s">
        <v>63</v>
      </c>
      <c r="C175" s="3" t="s">
        <v>138</v>
      </c>
      <c r="D175" s="20" t="s">
        <v>207</v>
      </c>
      <c r="E175" s="5"/>
      <c r="F175" s="20" t="s">
        <v>197</v>
      </c>
      <c r="G175" s="20" t="s">
        <v>197</v>
      </c>
      <c r="H175" s="21" t="s">
        <v>208</v>
      </c>
      <c r="I175" s="21">
        <v>0.1</v>
      </c>
      <c r="J175" s="21">
        <v>3.1</v>
      </c>
      <c r="K175" s="21">
        <v>1.4</v>
      </c>
      <c r="L175" s="21">
        <v>0.3</v>
      </c>
      <c r="M175" s="21">
        <v>13.7</v>
      </c>
      <c r="N175" s="21">
        <v>0.3</v>
      </c>
      <c r="O175" s="21"/>
      <c r="P175" s="21">
        <v>4.4</v>
      </c>
      <c r="Q175" s="21">
        <v>0.8</v>
      </c>
      <c r="R175" s="21">
        <v>0.1</v>
      </c>
      <c r="S175" s="21">
        <v>0.6</v>
      </c>
      <c r="T175" s="21"/>
      <c r="U175" s="21"/>
      <c r="V175" s="21"/>
    </row>
    <row r="176">
      <c r="A176" s="20" t="s">
        <v>22</v>
      </c>
      <c r="B176" s="6" t="s">
        <v>63</v>
      </c>
      <c r="C176" s="3" t="s">
        <v>138</v>
      </c>
      <c r="D176" s="20" t="s">
        <v>209</v>
      </c>
      <c r="E176" s="5"/>
      <c r="F176" s="20" t="s">
        <v>197</v>
      </c>
      <c r="G176" s="20" t="s">
        <v>197</v>
      </c>
      <c r="H176" s="21" t="s">
        <v>210</v>
      </c>
      <c r="I176" s="21">
        <v>0.1</v>
      </c>
      <c r="J176" s="21">
        <v>4.7</v>
      </c>
      <c r="K176" s="21">
        <v>2.8</v>
      </c>
      <c r="L176" s="21">
        <v>0.2</v>
      </c>
      <c r="M176" s="21">
        <v>8.0</v>
      </c>
      <c r="N176" s="21"/>
      <c r="O176" s="21"/>
      <c r="P176" s="21">
        <v>10.9</v>
      </c>
      <c r="Q176" s="21">
        <v>0.3</v>
      </c>
      <c r="R176" s="21"/>
      <c r="S176" s="21">
        <v>1.0</v>
      </c>
      <c r="T176" s="21"/>
      <c r="U176" s="21"/>
      <c r="V176" s="21"/>
    </row>
    <row r="177">
      <c r="A177" s="20" t="s">
        <v>22</v>
      </c>
      <c r="B177" s="6" t="s">
        <v>63</v>
      </c>
      <c r="C177" s="3" t="s">
        <v>138</v>
      </c>
      <c r="D177" s="20" t="s">
        <v>211</v>
      </c>
      <c r="E177" s="5"/>
      <c r="F177" s="20" t="s">
        <v>197</v>
      </c>
      <c r="G177" s="20" t="s">
        <v>197</v>
      </c>
      <c r="H177" s="21" t="s">
        <v>212</v>
      </c>
      <c r="I177" s="21">
        <v>0.2</v>
      </c>
      <c r="J177" s="21">
        <v>10.4</v>
      </c>
      <c r="K177" s="21">
        <v>2.1</v>
      </c>
      <c r="L177" s="21">
        <v>0.2</v>
      </c>
      <c r="M177" s="21">
        <v>8.7</v>
      </c>
      <c r="N177" s="21">
        <v>0.1</v>
      </c>
      <c r="O177" s="21"/>
      <c r="P177" s="21">
        <v>3.4</v>
      </c>
      <c r="Q177" s="21">
        <v>0.3</v>
      </c>
      <c r="R177" s="21">
        <v>0.1</v>
      </c>
      <c r="S177" s="21">
        <v>0.6</v>
      </c>
      <c r="T177" s="21"/>
      <c r="U177" s="21"/>
      <c r="V177" s="21"/>
    </row>
    <row r="178">
      <c r="A178" s="20" t="s">
        <v>22</v>
      </c>
      <c r="B178" s="6" t="s">
        <v>63</v>
      </c>
      <c r="C178" s="3" t="s">
        <v>138</v>
      </c>
      <c r="D178" s="20" t="s">
        <v>213</v>
      </c>
      <c r="E178" s="5"/>
      <c r="F178" s="20" t="s">
        <v>197</v>
      </c>
      <c r="G178" s="20" t="s">
        <v>197</v>
      </c>
      <c r="H178" s="21" t="s">
        <v>214</v>
      </c>
      <c r="I178" s="21">
        <v>0.1</v>
      </c>
      <c r="J178" s="21">
        <v>10.0</v>
      </c>
      <c r="K178" s="21">
        <v>0.9</v>
      </c>
      <c r="L178" s="21">
        <v>0.1</v>
      </c>
      <c r="M178" s="21">
        <v>11.3</v>
      </c>
      <c r="N178" s="21">
        <v>0.1</v>
      </c>
      <c r="O178" s="21"/>
      <c r="P178" s="21">
        <v>3.2</v>
      </c>
      <c r="Q178" s="21">
        <v>0.5</v>
      </c>
      <c r="R178" s="21">
        <v>0.2</v>
      </c>
      <c r="S178" s="21">
        <v>1.3</v>
      </c>
      <c r="T178" s="21"/>
      <c r="U178" s="21"/>
      <c r="V178" s="21"/>
    </row>
    <row r="179">
      <c r="A179" s="20" t="s">
        <v>22</v>
      </c>
      <c r="B179" s="6" t="s">
        <v>63</v>
      </c>
      <c r="C179" s="3" t="s">
        <v>138</v>
      </c>
      <c r="D179" s="20" t="s">
        <v>215</v>
      </c>
      <c r="E179" s="5"/>
      <c r="F179" s="20" t="s">
        <v>197</v>
      </c>
      <c r="G179" s="20" t="s">
        <v>197</v>
      </c>
      <c r="H179" s="21" t="s">
        <v>158</v>
      </c>
      <c r="I179" s="21">
        <v>4.9</v>
      </c>
      <c r="J179" s="21">
        <v>2.8</v>
      </c>
      <c r="K179" s="21">
        <v>1.7</v>
      </c>
      <c r="L179" s="21">
        <v>0.4</v>
      </c>
      <c r="M179" s="21">
        <v>16.5</v>
      </c>
      <c r="N179" s="21">
        <v>1.5</v>
      </c>
      <c r="O179" s="21"/>
      <c r="P179" s="21">
        <v>2.5</v>
      </c>
      <c r="Q179" s="21">
        <v>0.3</v>
      </c>
      <c r="R179" s="21">
        <v>0.2</v>
      </c>
      <c r="S179" s="21">
        <v>1.5</v>
      </c>
      <c r="T179" s="21"/>
      <c r="U179" s="21">
        <v>0.3</v>
      </c>
      <c r="V179" s="21"/>
    </row>
    <row r="180">
      <c r="A180" s="20" t="s">
        <v>22</v>
      </c>
      <c r="B180" s="6" t="s">
        <v>23</v>
      </c>
      <c r="C180" s="3" t="s">
        <v>138</v>
      </c>
      <c r="D180" s="20" t="s">
        <v>216</v>
      </c>
      <c r="E180" s="5"/>
      <c r="F180" s="20" t="s">
        <v>217</v>
      </c>
      <c r="G180" s="20" t="s">
        <v>217</v>
      </c>
      <c r="H180" s="21" t="s">
        <v>216</v>
      </c>
      <c r="I180" s="21">
        <v>0.8</v>
      </c>
      <c r="J180" s="21">
        <v>6.9</v>
      </c>
      <c r="K180" s="21">
        <v>11.6</v>
      </c>
      <c r="L180" s="21">
        <v>0.6</v>
      </c>
      <c r="M180" s="21">
        <v>12.8</v>
      </c>
      <c r="N180" s="21"/>
      <c r="O180" s="21"/>
      <c r="P180" s="21">
        <v>4.5</v>
      </c>
      <c r="Q180" s="21">
        <v>0.8</v>
      </c>
      <c r="R180" s="21"/>
      <c r="S180" s="21">
        <v>3.8</v>
      </c>
      <c r="T180" s="21"/>
      <c r="U180" s="21"/>
      <c r="V180" s="21"/>
    </row>
    <row r="181">
      <c r="A181" s="20" t="s">
        <v>22</v>
      </c>
      <c r="B181" s="6" t="s">
        <v>23</v>
      </c>
      <c r="C181" s="3" t="s">
        <v>138</v>
      </c>
      <c r="D181" s="20" t="s">
        <v>218</v>
      </c>
      <c r="E181" s="5"/>
      <c r="F181" s="20" t="s">
        <v>219</v>
      </c>
      <c r="G181" s="20" t="s">
        <v>220</v>
      </c>
      <c r="H181" s="21" t="s">
        <v>141</v>
      </c>
      <c r="I181" s="21">
        <v>14.7</v>
      </c>
      <c r="J181" s="21">
        <v>14.3</v>
      </c>
      <c r="K181" s="21"/>
      <c r="L181" s="21"/>
      <c r="M181" s="21">
        <v>6.5</v>
      </c>
      <c r="N181" s="21"/>
      <c r="O181" s="21"/>
      <c r="P181" s="21">
        <v>4.6</v>
      </c>
      <c r="Q181" s="21"/>
      <c r="R181" s="21"/>
      <c r="S181" s="21">
        <v>4.9</v>
      </c>
      <c r="T181" s="21"/>
      <c r="U181" s="21"/>
      <c r="V181" s="21"/>
    </row>
    <row r="182">
      <c r="A182" s="20" t="s">
        <v>22</v>
      </c>
      <c r="B182" s="6" t="s">
        <v>23</v>
      </c>
      <c r="C182" s="3" t="s">
        <v>138</v>
      </c>
      <c r="D182" s="20" t="s">
        <v>221</v>
      </c>
      <c r="E182" s="5"/>
      <c r="F182" s="20" t="s">
        <v>219</v>
      </c>
      <c r="G182" s="20" t="s">
        <v>220</v>
      </c>
      <c r="H182" s="21" t="s">
        <v>141</v>
      </c>
      <c r="I182" s="21">
        <v>10.7</v>
      </c>
      <c r="J182" s="21">
        <v>17.6</v>
      </c>
      <c r="K182" s="21"/>
      <c r="L182" s="21"/>
      <c r="M182" s="21">
        <v>5.6</v>
      </c>
      <c r="N182" s="21"/>
      <c r="O182" s="21"/>
      <c r="P182" s="21">
        <v>3.4</v>
      </c>
      <c r="Q182" s="21"/>
      <c r="R182" s="21"/>
      <c r="S182" s="21">
        <v>5.6</v>
      </c>
      <c r="T182" s="21"/>
      <c r="U182" s="21"/>
      <c r="V182" s="21"/>
    </row>
    <row r="183">
      <c r="A183" s="20" t="s">
        <v>22</v>
      </c>
      <c r="B183" s="6" t="s">
        <v>23</v>
      </c>
      <c r="C183" s="3" t="s">
        <v>138</v>
      </c>
      <c r="D183" s="20" t="s">
        <v>222</v>
      </c>
      <c r="E183" s="5"/>
      <c r="F183" s="20" t="s">
        <v>219</v>
      </c>
      <c r="G183" s="20" t="s">
        <v>220</v>
      </c>
      <c r="H183" s="21" t="s">
        <v>141</v>
      </c>
      <c r="I183" s="21">
        <v>18.0</v>
      </c>
      <c r="J183" s="21">
        <v>11.6</v>
      </c>
      <c r="K183" s="21"/>
      <c r="L183" s="21"/>
      <c r="M183" s="21">
        <v>9.2</v>
      </c>
      <c r="N183" s="21"/>
      <c r="O183" s="21"/>
      <c r="P183" s="21">
        <v>4.3</v>
      </c>
      <c r="Q183" s="21"/>
      <c r="R183" s="21"/>
      <c r="S183" s="21">
        <v>4.9</v>
      </c>
      <c r="T183" s="21"/>
      <c r="U183" s="21"/>
      <c r="V183" s="21"/>
    </row>
    <row r="184">
      <c r="A184" s="20" t="s">
        <v>22</v>
      </c>
      <c r="B184" s="6" t="s">
        <v>23</v>
      </c>
      <c r="C184" s="3" t="s">
        <v>138</v>
      </c>
      <c r="D184" s="20" t="s">
        <v>216</v>
      </c>
      <c r="E184" s="5"/>
      <c r="F184" s="20" t="s">
        <v>219</v>
      </c>
      <c r="G184" s="20" t="s">
        <v>220</v>
      </c>
      <c r="H184" s="21" t="s">
        <v>216</v>
      </c>
      <c r="I184" s="21">
        <v>0.7</v>
      </c>
      <c r="J184" s="21">
        <v>11.3</v>
      </c>
      <c r="K184" s="21"/>
      <c r="L184" s="21"/>
      <c r="M184" s="21">
        <v>8.5</v>
      </c>
      <c r="N184" s="21"/>
      <c r="O184" s="21"/>
      <c r="P184" s="21">
        <v>5.4</v>
      </c>
      <c r="Q184" s="21"/>
      <c r="R184" s="21"/>
      <c r="S184" s="21">
        <v>4.9</v>
      </c>
      <c r="T184" s="21"/>
      <c r="U184" s="21"/>
      <c r="V184" s="21"/>
    </row>
    <row r="185">
      <c r="A185" s="20" t="s">
        <v>22</v>
      </c>
      <c r="B185" s="6" t="s">
        <v>23</v>
      </c>
      <c r="C185" s="3" t="s">
        <v>138</v>
      </c>
      <c r="D185" s="21" t="s">
        <v>223</v>
      </c>
      <c r="E185" s="5"/>
      <c r="F185" s="20" t="s">
        <v>224</v>
      </c>
      <c r="G185" s="20" t="s">
        <v>225</v>
      </c>
      <c r="H185" s="3" t="s">
        <v>141</v>
      </c>
      <c r="I185" s="21">
        <v>7.0</v>
      </c>
      <c r="J185" s="21">
        <v>5.93</v>
      </c>
      <c r="K185" s="21">
        <v>7.66</v>
      </c>
      <c r="L185" s="21"/>
      <c r="M185" s="21">
        <v>7.09</v>
      </c>
      <c r="N185" s="21">
        <v>0.56</v>
      </c>
      <c r="O185" s="21"/>
      <c r="P185" s="21">
        <v>5.51</v>
      </c>
      <c r="Q185" s="21"/>
      <c r="R185" s="21"/>
      <c r="S185" s="21">
        <v>1.78</v>
      </c>
      <c r="T185" s="21">
        <v>0.16</v>
      </c>
      <c r="U185" s="21">
        <v>2.08</v>
      </c>
      <c r="V185" s="21"/>
    </row>
    <row r="186">
      <c r="A186" s="20" t="s">
        <v>22</v>
      </c>
      <c r="B186" s="6" t="s">
        <v>23</v>
      </c>
      <c r="C186" s="3" t="s">
        <v>138</v>
      </c>
      <c r="D186" s="20" t="s">
        <v>226</v>
      </c>
      <c r="E186" s="5"/>
      <c r="F186" s="20" t="s">
        <v>224</v>
      </c>
      <c r="G186" s="20" t="s">
        <v>225</v>
      </c>
      <c r="H186" s="3" t="s">
        <v>141</v>
      </c>
      <c r="I186" s="21">
        <v>13.3</v>
      </c>
      <c r="J186" s="21">
        <v>6.7</v>
      </c>
      <c r="K186" s="21">
        <v>5.29</v>
      </c>
      <c r="L186" s="21"/>
      <c r="M186" s="21">
        <v>9.71</v>
      </c>
      <c r="N186" s="21">
        <v>0.49</v>
      </c>
      <c r="O186" s="21"/>
      <c r="P186" s="21">
        <v>5.02</v>
      </c>
      <c r="Q186" s="21"/>
      <c r="R186" s="21"/>
      <c r="S186" s="21">
        <v>3.49</v>
      </c>
      <c r="T186" s="21">
        <v>0.28</v>
      </c>
      <c r="U186" s="21">
        <v>3.41</v>
      </c>
      <c r="V186" s="21"/>
    </row>
    <row r="187">
      <c r="A187" s="20" t="s">
        <v>22</v>
      </c>
      <c r="B187" s="6" t="s">
        <v>23</v>
      </c>
      <c r="C187" s="3" t="s">
        <v>138</v>
      </c>
      <c r="D187" s="20" t="s">
        <v>227</v>
      </c>
      <c r="E187" s="5"/>
      <c r="F187" s="20" t="s">
        <v>224</v>
      </c>
      <c r="G187" s="20" t="s">
        <v>225</v>
      </c>
      <c r="H187" s="21" t="s">
        <v>141</v>
      </c>
      <c r="I187" s="21">
        <v>12.7</v>
      </c>
      <c r="J187" s="21">
        <v>4.4</v>
      </c>
      <c r="K187" s="21">
        <v>1.47</v>
      </c>
      <c r="L187" s="21"/>
      <c r="M187" s="21">
        <v>7.01</v>
      </c>
      <c r="N187" s="21">
        <v>2.09</v>
      </c>
      <c r="O187" s="21"/>
      <c r="P187" s="21">
        <v>5.24</v>
      </c>
      <c r="Q187" s="21"/>
      <c r="R187" s="21"/>
      <c r="S187" s="21">
        <v>4.32</v>
      </c>
      <c r="T187" s="21">
        <v>0.3</v>
      </c>
      <c r="U187" s="21">
        <v>2.26</v>
      </c>
      <c r="V187" s="21"/>
    </row>
    <row r="188">
      <c r="A188" s="20" t="s">
        <v>22</v>
      </c>
      <c r="B188" s="6" t="s">
        <v>23</v>
      </c>
      <c r="C188" s="3" t="s">
        <v>138</v>
      </c>
      <c r="D188" s="20" t="s">
        <v>228</v>
      </c>
      <c r="E188" s="5"/>
      <c r="F188" s="20" t="s">
        <v>224</v>
      </c>
      <c r="G188" s="20" t="s">
        <v>225</v>
      </c>
      <c r="H188" s="21" t="s">
        <v>229</v>
      </c>
      <c r="I188" s="21">
        <v>1.0</v>
      </c>
      <c r="J188" s="21">
        <v>3.8</v>
      </c>
      <c r="K188" s="21">
        <v>2.33</v>
      </c>
      <c r="L188" s="21"/>
      <c r="M188" s="21">
        <v>10.06</v>
      </c>
      <c r="N188" s="21">
        <v>0.09</v>
      </c>
      <c r="O188" s="21"/>
      <c r="P188" s="21">
        <v>7.46</v>
      </c>
      <c r="Q188" s="21"/>
      <c r="R188" s="21"/>
      <c r="S188" s="21">
        <v>7.35</v>
      </c>
      <c r="T188" s="21">
        <v>0.05</v>
      </c>
      <c r="U188" s="21">
        <v>0.5</v>
      </c>
      <c r="V188" s="21"/>
    </row>
    <row r="189">
      <c r="A189" s="20" t="s">
        <v>22</v>
      </c>
      <c r="B189" s="6" t="s">
        <v>23</v>
      </c>
      <c r="C189" s="3" t="s">
        <v>138</v>
      </c>
      <c r="D189" s="20" t="s">
        <v>230</v>
      </c>
      <c r="E189" s="5"/>
      <c r="F189" s="20" t="s">
        <v>224</v>
      </c>
      <c r="G189" s="20" t="s">
        <v>225</v>
      </c>
      <c r="H189" s="21" t="s">
        <v>231</v>
      </c>
      <c r="I189" s="21">
        <v>1.2</v>
      </c>
      <c r="J189" s="21">
        <v>4.73</v>
      </c>
      <c r="K189" s="21">
        <v>7.01</v>
      </c>
      <c r="L189" s="21"/>
      <c r="M189" s="21">
        <v>12.84</v>
      </c>
      <c r="N189" s="21">
        <v>0.05</v>
      </c>
      <c r="O189" s="21"/>
      <c r="P189" s="21">
        <v>4.1</v>
      </c>
      <c r="Q189" s="21"/>
      <c r="R189" s="21"/>
      <c r="S189" s="21">
        <v>5.31</v>
      </c>
      <c r="T189" s="21">
        <v>0.0</v>
      </c>
      <c r="U189" s="21">
        <v>0.29</v>
      </c>
      <c r="V189" s="21"/>
    </row>
    <row r="190">
      <c r="A190" s="20" t="s">
        <v>22</v>
      </c>
      <c r="B190" s="6" t="s">
        <v>63</v>
      </c>
      <c r="C190" s="3" t="s">
        <v>138</v>
      </c>
      <c r="D190" s="20" t="s">
        <v>183</v>
      </c>
      <c r="E190" s="5"/>
      <c r="F190" s="20" t="s">
        <v>232</v>
      </c>
      <c r="G190" s="20" t="s">
        <v>232</v>
      </c>
      <c r="H190" s="21" t="s">
        <v>233</v>
      </c>
      <c r="I190" s="21">
        <v>0.7</v>
      </c>
      <c r="J190" s="21">
        <v>2.8</v>
      </c>
      <c r="K190" s="21">
        <v>2.1</v>
      </c>
      <c r="L190" s="21">
        <v>0.3</v>
      </c>
      <c r="M190" s="21">
        <v>9.3</v>
      </c>
      <c r="N190" s="21">
        <v>0.3</v>
      </c>
      <c r="O190" s="21"/>
      <c r="P190" s="21">
        <v>2.8</v>
      </c>
      <c r="Q190" s="21">
        <v>0.4</v>
      </c>
      <c r="R190" s="21">
        <v>0.1</v>
      </c>
      <c r="S190" s="21">
        <v>0.8</v>
      </c>
      <c r="T190" s="21"/>
      <c r="U190" s="21">
        <v>0.1</v>
      </c>
      <c r="V190" s="21"/>
    </row>
    <row r="191">
      <c r="A191" s="20" t="s">
        <v>22</v>
      </c>
      <c r="B191" s="6" t="s">
        <v>63</v>
      </c>
      <c r="C191" s="3" t="s">
        <v>138</v>
      </c>
      <c r="D191" s="20" t="s">
        <v>234</v>
      </c>
      <c r="E191" s="5"/>
      <c r="F191" s="20" t="s">
        <v>232</v>
      </c>
      <c r="G191" s="20" t="s">
        <v>232</v>
      </c>
      <c r="H191" s="21" t="s">
        <v>214</v>
      </c>
      <c r="I191" s="21">
        <v>0.1</v>
      </c>
      <c r="J191" s="21">
        <v>1.8</v>
      </c>
      <c r="K191" s="21">
        <v>0.8</v>
      </c>
      <c r="L191" s="21">
        <v>0.2</v>
      </c>
      <c r="M191" s="21">
        <v>9.3</v>
      </c>
      <c r="N191" s="21"/>
      <c r="O191" s="21"/>
      <c r="P191" s="21">
        <v>2.0</v>
      </c>
      <c r="Q191" s="21">
        <v>0.4</v>
      </c>
      <c r="R191" s="21">
        <v>0.1</v>
      </c>
      <c r="S191" s="21">
        <v>1.4</v>
      </c>
      <c r="T191" s="21"/>
      <c r="U191" s="21"/>
      <c r="V191" s="21"/>
    </row>
    <row r="192">
      <c r="A192" s="20" t="s">
        <v>22</v>
      </c>
      <c r="B192" s="6" t="s">
        <v>63</v>
      </c>
      <c r="C192" s="3" t="s">
        <v>138</v>
      </c>
      <c r="D192" s="20" t="s">
        <v>235</v>
      </c>
      <c r="E192" s="5"/>
      <c r="F192" s="20" t="s">
        <v>232</v>
      </c>
      <c r="G192" s="20" t="s">
        <v>232</v>
      </c>
      <c r="H192" s="21" t="s">
        <v>236</v>
      </c>
      <c r="I192" s="21">
        <v>0.3</v>
      </c>
      <c r="J192" s="21">
        <v>3.4</v>
      </c>
      <c r="K192" s="21">
        <v>1.4</v>
      </c>
      <c r="L192" s="21">
        <v>0.1</v>
      </c>
      <c r="M192" s="21">
        <v>4.6</v>
      </c>
      <c r="N192" s="21">
        <v>0.1</v>
      </c>
      <c r="O192" s="21"/>
      <c r="P192" s="21">
        <v>3.3</v>
      </c>
      <c r="Q192" s="21">
        <v>0.2</v>
      </c>
      <c r="R192" s="21">
        <v>0.1</v>
      </c>
      <c r="S192" s="21">
        <v>0.4</v>
      </c>
      <c r="T192" s="21"/>
      <c r="U192" s="21">
        <v>0.1</v>
      </c>
      <c r="V192" s="21"/>
    </row>
    <row r="193">
      <c r="A193" s="20" t="s">
        <v>22</v>
      </c>
      <c r="B193" s="6" t="s">
        <v>63</v>
      </c>
      <c r="C193" s="3" t="s">
        <v>138</v>
      </c>
      <c r="D193" s="20" t="s">
        <v>237</v>
      </c>
      <c r="E193" s="5"/>
      <c r="F193" s="20" t="s">
        <v>232</v>
      </c>
      <c r="G193" s="20" t="s">
        <v>232</v>
      </c>
      <c r="H193" s="21" t="s">
        <v>210</v>
      </c>
      <c r="I193" s="21">
        <v>0.1</v>
      </c>
      <c r="J193" s="21">
        <v>4.2</v>
      </c>
      <c r="K193" s="21">
        <v>2.4</v>
      </c>
      <c r="L193" s="21">
        <v>0.1</v>
      </c>
      <c r="M193" s="21">
        <v>9.5</v>
      </c>
      <c r="N193" s="21"/>
      <c r="O193" s="21"/>
      <c r="P193" s="21">
        <v>3.8</v>
      </c>
      <c r="Q193" s="21">
        <v>1.4</v>
      </c>
      <c r="R193" s="21">
        <v>0.1</v>
      </c>
      <c r="S193" s="21">
        <v>0.2</v>
      </c>
      <c r="T193" s="21"/>
      <c r="U193" s="21"/>
      <c r="V193" s="21"/>
    </row>
    <row r="194">
      <c r="A194" s="20" t="s">
        <v>22</v>
      </c>
      <c r="B194" s="6" t="s">
        <v>63</v>
      </c>
      <c r="C194" s="3" t="s">
        <v>138</v>
      </c>
      <c r="D194" s="20" t="s">
        <v>235</v>
      </c>
      <c r="E194" s="5"/>
      <c r="F194" s="20" t="s">
        <v>238</v>
      </c>
      <c r="G194" s="20" t="s">
        <v>238</v>
      </c>
      <c r="H194" s="21" t="s">
        <v>236</v>
      </c>
      <c r="I194" s="21">
        <v>0.3</v>
      </c>
      <c r="J194" s="21">
        <v>8.7</v>
      </c>
      <c r="K194" s="21">
        <v>2.1</v>
      </c>
      <c r="L194" s="21">
        <v>0.2</v>
      </c>
      <c r="M194" s="21">
        <v>10.5</v>
      </c>
      <c r="N194" s="21">
        <v>0.1</v>
      </c>
      <c r="O194" s="21"/>
      <c r="P194" s="21">
        <v>6.1</v>
      </c>
      <c r="Q194" s="21"/>
      <c r="R194" s="21"/>
      <c r="S194" s="21">
        <v>1.2</v>
      </c>
      <c r="T194" s="21">
        <v>0.0</v>
      </c>
      <c r="U194" s="21">
        <v>0.1</v>
      </c>
      <c r="V194" s="21"/>
    </row>
    <row r="195">
      <c r="A195" s="20" t="s">
        <v>22</v>
      </c>
      <c r="B195" s="6" t="s">
        <v>63</v>
      </c>
      <c r="C195" s="3" t="s">
        <v>138</v>
      </c>
      <c r="D195" s="20" t="s">
        <v>234</v>
      </c>
      <c r="E195" s="5"/>
      <c r="F195" s="20" t="s">
        <v>238</v>
      </c>
      <c r="G195" s="20" t="s">
        <v>238</v>
      </c>
      <c r="H195" s="21" t="s">
        <v>214</v>
      </c>
      <c r="I195" s="21">
        <v>0.1</v>
      </c>
      <c r="J195" s="21">
        <v>5.2</v>
      </c>
      <c r="K195" s="21">
        <v>2.7</v>
      </c>
      <c r="L195" s="21">
        <v>0.2</v>
      </c>
      <c r="M195" s="21">
        <v>16.4</v>
      </c>
      <c r="N195" s="21">
        <v>0.0</v>
      </c>
      <c r="O195" s="21"/>
      <c r="P195" s="21">
        <v>3.6</v>
      </c>
      <c r="Q195" s="21"/>
      <c r="R195" s="21"/>
      <c r="S195" s="21">
        <v>1.8</v>
      </c>
      <c r="T195" s="21">
        <v>0.0</v>
      </c>
      <c r="U195" s="21">
        <v>0.0</v>
      </c>
      <c r="V195" s="21"/>
    </row>
    <row r="196">
      <c r="A196" s="20" t="s">
        <v>22</v>
      </c>
      <c r="B196" s="6" t="s">
        <v>63</v>
      </c>
      <c r="C196" s="3" t="s">
        <v>138</v>
      </c>
      <c r="D196" s="20" t="s">
        <v>239</v>
      </c>
      <c r="E196" s="5"/>
      <c r="F196" s="20" t="s">
        <v>238</v>
      </c>
      <c r="G196" s="20" t="s">
        <v>238</v>
      </c>
      <c r="I196" s="21">
        <v>0.2</v>
      </c>
      <c r="J196" s="21">
        <v>3.8</v>
      </c>
      <c r="K196" s="21">
        <v>1.5</v>
      </c>
      <c r="L196" s="21">
        <v>0.3</v>
      </c>
      <c r="M196" s="21">
        <v>11.8</v>
      </c>
      <c r="N196" s="21">
        <v>0.1</v>
      </c>
      <c r="O196" s="21"/>
      <c r="P196" s="21">
        <v>9.0</v>
      </c>
      <c r="Q196" s="21"/>
      <c r="R196" s="21"/>
      <c r="S196" s="21">
        <v>2.0</v>
      </c>
      <c r="T196" s="21">
        <v>0.0</v>
      </c>
      <c r="U196" s="21">
        <v>0.0</v>
      </c>
      <c r="V196" s="21"/>
    </row>
    <row r="197">
      <c r="A197" s="20" t="s">
        <v>22</v>
      </c>
      <c r="B197" s="6" t="s">
        <v>63</v>
      </c>
      <c r="C197" s="3" t="s">
        <v>138</v>
      </c>
      <c r="D197" s="20" t="s">
        <v>240</v>
      </c>
      <c r="E197" s="5"/>
      <c r="F197" s="20" t="s">
        <v>238</v>
      </c>
      <c r="G197" s="20" t="s">
        <v>238</v>
      </c>
      <c r="H197" s="21" t="s">
        <v>241</v>
      </c>
      <c r="I197" s="21">
        <v>0.2</v>
      </c>
      <c r="J197" s="21">
        <v>10.3</v>
      </c>
      <c r="K197" s="21">
        <v>2.1</v>
      </c>
      <c r="L197" s="21">
        <v>0.2</v>
      </c>
      <c r="M197" s="21">
        <v>16.6</v>
      </c>
      <c r="N197" s="21">
        <v>0.1</v>
      </c>
      <c r="O197" s="21"/>
      <c r="P197" s="21">
        <v>6.6</v>
      </c>
      <c r="Q197" s="21"/>
      <c r="R197" s="21"/>
      <c r="S197" s="21">
        <v>1.8</v>
      </c>
      <c r="T197" s="21">
        <v>0.0</v>
      </c>
      <c r="U197" s="21">
        <v>0.1</v>
      </c>
      <c r="V197" s="21"/>
    </row>
    <row r="198">
      <c r="A198" s="20" t="s">
        <v>22</v>
      </c>
      <c r="B198" s="6" t="s">
        <v>63</v>
      </c>
      <c r="C198" s="3" t="s">
        <v>138</v>
      </c>
      <c r="D198" s="20" t="s">
        <v>242</v>
      </c>
      <c r="E198" s="5"/>
      <c r="F198" s="20" t="s">
        <v>238</v>
      </c>
      <c r="G198" s="20" t="s">
        <v>238</v>
      </c>
      <c r="H198" s="22"/>
      <c r="I198" s="21">
        <v>0.4</v>
      </c>
      <c r="J198" s="21">
        <v>4.6</v>
      </c>
      <c r="K198" s="21">
        <v>0.8</v>
      </c>
      <c r="L198" s="21">
        <v>0.1</v>
      </c>
      <c r="M198" s="21">
        <v>10.9</v>
      </c>
      <c r="N198" s="21">
        <v>0.2</v>
      </c>
      <c r="O198" s="21"/>
      <c r="P198" s="21">
        <v>5.3</v>
      </c>
      <c r="Q198" s="21"/>
      <c r="R198" s="21"/>
      <c r="S198" s="21">
        <v>2.7</v>
      </c>
      <c r="T198" s="21">
        <v>0.0</v>
      </c>
      <c r="U198" s="21">
        <v>0.0</v>
      </c>
      <c r="V198" s="21"/>
    </row>
    <row r="199">
      <c r="A199" s="20" t="s">
        <v>22</v>
      </c>
      <c r="B199" s="6" t="s">
        <v>63</v>
      </c>
      <c r="C199" s="3" t="s">
        <v>138</v>
      </c>
      <c r="D199" s="20" t="s">
        <v>183</v>
      </c>
      <c r="E199" s="5"/>
      <c r="F199" s="20" t="s">
        <v>238</v>
      </c>
      <c r="G199" s="20" t="s">
        <v>238</v>
      </c>
      <c r="H199" s="21" t="s">
        <v>233</v>
      </c>
      <c r="I199" s="21">
        <v>6.5</v>
      </c>
      <c r="J199" s="21">
        <v>3.0</v>
      </c>
      <c r="K199" s="21">
        <v>1.2</v>
      </c>
      <c r="L199" s="21">
        <v>0.3</v>
      </c>
      <c r="M199" s="21">
        <v>16.2</v>
      </c>
      <c r="N199" s="21">
        <v>1.4</v>
      </c>
      <c r="O199" s="21"/>
      <c r="P199" s="21">
        <v>5.1</v>
      </c>
      <c r="Q199" s="21"/>
      <c r="R199" s="21"/>
      <c r="S199" s="21">
        <v>4.5</v>
      </c>
      <c r="T199" s="21">
        <v>0.1</v>
      </c>
      <c r="U199" s="21">
        <v>0.6</v>
      </c>
      <c r="V199" s="21"/>
    </row>
    <row r="200">
      <c r="A200" s="20" t="s">
        <v>22</v>
      </c>
      <c r="B200" s="6" t="s">
        <v>63</v>
      </c>
      <c r="C200" s="3" t="s">
        <v>138</v>
      </c>
      <c r="D200" s="20" t="s">
        <v>243</v>
      </c>
      <c r="E200" s="5"/>
      <c r="F200" s="20" t="s">
        <v>238</v>
      </c>
      <c r="G200" s="20" t="s">
        <v>238</v>
      </c>
      <c r="H200" s="21" t="s">
        <v>244</v>
      </c>
      <c r="I200" s="21">
        <v>3.2</v>
      </c>
      <c r="J200" s="21">
        <v>3.7</v>
      </c>
      <c r="K200" s="21">
        <v>1.4</v>
      </c>
      <c r="L200" s="21">
        <v>0.4</v>
      </c>
      <c r="M200" s="21">
        <v>9.9</v>
      </c>
      <c r="N200" s="21">
        <v>3.6</v>
      </c>
      <c r="O200" s="21"/>
      <c r="P200" s="21">
        <v>3.1</v>
      </c>
      <c r="Q200" s="21"/>
      <c r="R200" s="21"/>
      <c r="S200" s="21">
        <v>5.2</v>
      </c>
      <c r="T200" s="21">
        <v>1.8</v>
      </c>
      <c r="U200" s="21">
        <v>1.3</v>
      </c>
      <c r="V200" s="21"/>
    </row>
    <row r="201">
      <c r="A201" s="20" t="s">
        <v>22</v>
      </c>
      <c r="B201" s="6" t="s">
        <v>63</v>
      </c>
      <c r="C201" s="3" t="s">
        <v>138</v>
      </c>
      <c r="D201" s="20" t="s">
        <v>245</v>
      </c>
      <c r="E201" s="5"/>
      <c r="F201" s="20" t="s">
        <v>238</v>
      </c>
      <c r="G201" s="20" t="s">
        <v>238</v>
      </c>
      <c r="H201" s="3" t="s">
        <v>246</v>
      </c>
      <c r="I201" s="21">
        <v>0.5</v>
      </c>
      <c r="J201" s="21">
        <v>3.7</v>
      </c>
      <c r="K201" s="21">
        <v>0.8</v>
      </c>
      <c r="L201" s="21">
        <v>0.3</v>
      </c>
      <c r="M201" s="21">
        <v>15.1</v>
      </c>
      <c r="N201" s="21">
        <v>0.7</v>
      </c>
      <c r="O201" s="21"/>
      <c r="P201" s="21">
        <v>3.6</v>
      </c>
      <c r="Q201" s="21"/>
      <c r="R201" s="21"/>
      <c r="S201" s="21">
        <v>7.3</v>
      </c>
      <c r="T201" s="21">
        <v>0.6</v>
      </c>
      <c r="U201" s="21">
        <v>0.1</v>
      </c>
      <c r="V201" s="21"/>
    </row>
    <row r="202">
      <c r="A202" s="20" t="s">
        <v>22</v>
      </c>
      <c r="B202" s="6" t="s">
        <v>63</v>
      </c>
      <c r="C202" s="3" t="s">
        <v>138</v>
      </c>
      <c r="D202" s="20" t="s">
        <v>247</v>
      </c>
      <c r="E202" s="5"/>
      <c r="F202" s="20" t="s">
        <v>238</v>
      </c>
      <c r="G202" s="20" t="s">
        <v>238</v>
      </c>
      <c r="H202" s="22"/>
      <c r="I202" s="21">
        <v>0.6</v>
      </c>
      <c r="J202" s="21">
        <v>1.2</v>
      </c>
      <c r="K202" s="21">
        <v>0.3</v>
      </c>
      <c r="L202" s="21">
        <v>0.3</v>
      </c>
      <c r="M202" s="21">
        <v>11.2</v>
      </c>
      <c r="N202" s="21">
        <v>1.3</v>
      </c>
      <c r="O202" s="21"/>
      <c r="P202" s="21">
        <v>2.6</v>
      </c>
      <c r="Q202" s="21"/>
      <c r="R202" s="21"/>
      <c r="S202" s="21">
        <v>5.5</v>
      </c>
      <c r="T202" s="21">
        <v>1.0</v>
      </c>
      <c r="U202" s="21">
        <v>0.5</v>
      </c>
      <c r="V202" s="21"/>
    </row>
    <row r="203">
      <c r="A203" s="20" t="s">
        <v>22</v>
      </c>
      <c r="B203" s="6" t="s">
        <v>63</v>
      </c>
      <c r="C203" s="3" t="s">
        <v>138</v>
      </c>
      <c r="D203" s="20" t="s">
        <v>248</v>
      </c>
      <c r="E203" s="5"/>
      <c r="F203" s="20" t="s">
        <v>238</v>
      </c>
      <c r="G203" s="20" t="s">
        <v>238</v>
      </c>
      <c r="H203" s="22"/>
      <c r="I203" s="21">
        <v>1.9</v>
      </c>
      <c r="J203" s="21">
        <v>5.5</v>
      </c>
      <c r="K203" s="21">
        <v>1.4</v>
      </c>
      <c r="L203" s="21">
        <v>0.3</v>
      </c>
      <c r="M203" s="21">
        <v>10.0</v>
      </c>
      <c r="N203" s="21">
        <v>8.8</v>
      </c>
      <c r="O203" s="21"/>
      <c r="P203" s="21">
        <v>2.7</v>
      </c>
      <c r="Q203" s="21"/>
      <c r="R203" s="21"/>
      <c r="S203" s="21">
        <v>0.6</v>
      </c>
      <c r="T203" s="21">
        <v>0.9</v>
      </c>
      <c r="U203" s="21">
        <v>0.1</v>
      </c>
      <c r="V203" s="21"/>
    </row>
    <row r="204">
      <c r="A204" s="20" t="s">
        <v>22</v>
      </c>
      <c r="B204" s="6" t="s">
        <v>63</v>
      </c>
      <c r="C204" s="3" t="s">
        <v>138</v>
      </c>
      <c r="D204" s="20" t="s">
        <v>249</v>
      </c>
      <c r="E204" s="5"/>
      <c r="F204" s="20" t="s">
        <v>238</v>
      </c>
      <c r="G204" s="20" t="s">
        <v>238</v>
      </c>
      <c r="H204" s="22"/>
      <c r="I204" s="21">
        <v>3.5</v>
      </c>
      <c r="J204" s="21">
        <v>2.8</v>
      </c>
      <c r="K204" s="21">
        <v>0.9</v>
      </c>
      <c r="L204" s="21">
        <v>0.8</v>
      </c>
      <c r="M204" s="21">
        <v>9.6</v>
      </c>
      <c r="N204" s="21">
        <v>1.1</v>
      </c>
      <c r="O204" s="21"/>
      <c r="P204" s="21">
        <v>2.3</v>
      </c>
      <c r="Q204" s="21"/>
      <c r="R204" s="21"/>
      <c r="S204" s="21">
        <v>2.7</v>
      </c>
      <c r="T204" s="21">
        <v>0.4</v>
      </c>
      <c r="U204" s="21">
        <v>1.0</v>
      </c>
      <c r="V204" s="21"/>
    </row>
    <row r="205">
      <c r="A205" s="20" t="s">
        <v>22</v>
      </c>
      <c r="B205" s="6" t="s">
        <v>23</v>
      </c>
      <c r="C205" s="3" t="s">
        <v>138</v>
      </c>
      <c r="D205" s="20" t="s">
        <v>250</v>
      </c>
      <c r="E205" s="5"/>
      <c r="F205" s="20" t="s">
        <v>238</v>
      </c>
      <c r="G205" s="20" t="s">
        <v>238</v>
      </c>
      <c r="H205" s="22"/>
      <c r="I205" s="21">
        <v>0.1</v>
      </c>
      <c r="J205" s="21">
        <v>9.9</v>
      </c>
      <c r="K205" s="21">
        <v>1.5</v>
      </c>
      <c r="L205" s="21">
        <v>0.2</v>
      </c>
      <c r="M205" s="21">
        <v>10.6</v>
      </c>
      <c r="N205" s="21"/>
      <c r="O205" s="21"/>
      <c r="P205" s="21">
        <v>5.2</v>
      </c>
      <c r="Q205" s="21"/>
      <c r="R205" s="21"/>
      <c r="S205" s="21">
        <v>2.4</v>
      </c>
      <c r="T205" s="21"/>
      <c r="U205" s="21"/>
      <c r="V205" s="21"/>
    </row>
    <row r="206">
      <c r="A206" s="20" t="s">
        <v>22</v>
      </c>
      <c r="B206" s="6" t="s">
        <v>23</v>
      </c>
      <c r="C206" s="3" t="s">
        <v>138</v>
      </c>
      <c r="D206" s="20" t="s">
        <v>251</v>
      </c>
      <c r="E206" s="5"/>
      <c r="F206" s="20" t="s">
        <v>238</v>
      </c>
      <c r="G206" s="20" t="s">
        <v>238</v>
      </c>
      <c r="H206" s="22"/>
      <c r="I206" s="21">
        <v>2.8</v>
      </c>
      <c r="J206" s="21">
        <v>3.5</v>
      </c>
      <c r="K206" s="21">
        <v>1.8</v>
      </c>
      <c r="L206" s="21">
        <v>0.8</v>
      </c>
      <c r="M206" s="21">
        <v>10.6</v>
      </c>
      <c r="N206" s="21">
        <v>0.3</v>
      </c>
      <c r="O206" s="21"/>
      <c r="P206" s="21">
        <v>13.5</v>
      </c>
      <c r="Q206" s="21"/>
      <c r="R206" s="21"/>
      <c r="S206" s="21">
        <v>4.8</v>
      </c>
      <c r="T206" s="21"/>
      <c r="U206" s="21">
        <v>0.5</v>
      </c>
      <c r="V206" s="21"/>
    </row>
    <row r="207">
      <c r="A207" s="20" t="s">
        <v>22</v>
      </c>
      <c r="B207" s="6" t="s">
        <v>63</v>
      </c>
      <c r="C207" s="3" t="s">
        <v>138</v>
      </c>
      <c r="D207" s="20" t="s">
        <v>247</v>
      </c>
      <c r="E207" s="5"/>
      <c r="F207" s="20" t="s">
        <v>252</v>
      </c>
      <c r="G207" s="20" t="s">
        <v>252</v>
      </c>
      <c r="H207" s="22"/>
      <c r="I207" s="21">
        <v>1.1</v>
      </c>
      <c r="J207" s="21"/>
      <c r="K207" s="21"/>
      <c r="L207" s="21"/>
      <c r="M207" s="21">
        <v>13.6</v>
      </c>
      <c r="N207" s="21"/>
      <c r="O207" s="21"/>
      <c r="P207" s="21"/>
      <c r="Q207" s="21"/>
      <c r="R207" s="21"/>
      <c r="S207" s="21"/>
      <c r="T207" s="21"/>
      <c r="U207" s="21"/>
      <c r="V207" s="21"/>
    </row>
    <row r="208">
      <c r="A208" s="20" t="s">
        <v>22</v>
      </c>
      <c r="B208" s="6" t="s">
        <v>63</v>
      </c>
      <c r="C208" s="3" t="s">
        <v>138</v>
      </c>
      <c r="D208" s="20" t="s">
        <v>245</v>
      </c>
      <c r="E208" s="5"/>
      <c r="F208" s="20" t="s">
        <v>252</v>
      </c>
      <c r="G208" s="20" t="s">
        <v>252</v>
      </c>
      <c r="H208" s="22"/>
      <c r="I208" s="21">
        <v>0.6</v>
      </c>
      <c r="J208" s="21"/>
      <c r="K208" s="21"/>
      <c r="L208" s="21"/>
      <c r="M208" s="21">
        <v>15.7</v>
      </c>
      <c r="N208" s="21"/>
      <c r="O208" s="21"/>
      <c r="P208" s="21"/>
      <c r="Q208" s="21"/>
      <c r="R208" s="21"/>
      <c r="S208" s="21"/>
      <c r="T208" s="21"/>
      <c r="U208" s="21"/>
      <c r="V208" s="21"/>
    </row>
    <row r="209">
      <c r="A209" s="20" t="s">
        <v>22</v>
      </c>
      <c r="B209" s="6" t="s">
        <v>63</v>
      </c>
      <c r="C209" s="3" t="s">
        <v>138</v>
      </c>
      <c r="D209" s="20" t="s">
        <v>253</v>
      </c>
      <c r="E209" s="5"/>
      <c r="F209" s="20" t="s">
        <v>252</v>
      </c>
      <c r="G209" s="20" t="s">
        <v>252</v>
      </c>
      <c r="H209" s="22"/>
      <c r="I209" s="21">
        <v>3.2</v>
      </c>
      <c r="J209" s="21"/>
      <c r="K209" s="21"/>
      <c r="L209" s="21"/>
      <c r="M209" s="21">
        <v>17.1</v>
      </c>
      <c r="N209" s="21"/>
      <c r="O209" s="21"/>
      <c r="P209" s="21"/>
      <c r="Q209" s="21"/>
      <c r="R209" s="21"/>
      <c r="S209" s="21"/>
      <c r="T209" s="21"/>
      <c r="U209" s="21"/>
      <c r="V209" s="21"/>
    </row>
    <row r="210">
      <c r="A210" s="20" t="s">
        <v>22</v>
      </c>
      <c r="B210" s="6" t="s">
        <v>63</v>
      </c>
      <c r="C210" s="3" t="s">
        <v>138</v>
      </c>
      <c r="D210" s="20" t="s">
        <v>234</v>
      </c>
      <c r="E210" s="5"/>
      <c r="F210" s="20" t="s">
        <v>252</v>
      </c>
      <c r="G210" s="20" t="s">
        <v>252</v>
      </c>
      <c r="H210" s="22"/>
      <c r="I210" s="21">
        <v>0.1</v>
      </c>
      <c r="J210" s="21"/>
      <c r="K210" s="21"/>
      <c r="L210" s="21"/>
      <c r="M210" s="21">
        <v>16.8</v>
      </c>
      <c r="N210" s="21"/>
      <c r="O210" s="21"/>
      <c r="P210" s="21"/>
      <c r="Q210" s="21"/>
      <c r="R210" s="21"/>
      <c r="S210" s="21"/>
      <c r="T210" s="21"/>
      <c r="U210" s="21"/>
      <c r="V210" s="21"/>
    </row>
    <row r="211">
      <c r="A211" s="20" t="s">
        <v>22</v>
      </c>
      <c r="B211" s="6" t="s">
        <v>63</v>
      </c>
      <c r="C211" s="3" t="s">
        <v>138</v>
      </c>
      <c r="D211" s="20" t="s">
        <v>235</v>
      </c>
      <c r="E211" s="5"/>
      <c r="F211" s="20" t="s">
        <v>252</v>
      </c>
      <c r="G211" s="20" t="s">
        <v>252</v>
      </c>
      <c r="H211" s="22"/>
      <c r="I211" s="21">
        <v>0.3</v>
      </c>
      <c r="J211" s="21"/>
      <c r="K211" s="21"/>
      <c r="L211" s="21"/>
      <c r="M211" s="21">
        <v>10.1</v>
      </c>
      <c r="N211" s="21"/>
      <c r="O211" s="21"/>
      <c r="P211" s="21"/>
      <c r="Q211" s="21"/>
      <c r="R211" s="21"/>
      <c r="S211" s="21"/>
      <c r="T211" s="21"/>
      <c r="U211" s="21"/>
      <c r="V211" s="21"/>
    </row>
    <row r="212">
      <c r="A212" s="20" t="s">
        <v>22</v>
      </c>
      <c r="B212" s="6" t="s">
        <v>63</v>
      </c>
      <c r="C212" s="3" t="s">
        <v>138</v>
      </c>
      <c r="D212" s="20" t="s">
        <v>240</v>
      </c>
      <c r="E212" s="5"/>
      <c r="F212" s="20" t="s">
        <v>252</v>
      </c>
      <c r="G212" s="20" t="s">
        <v>252</v>
      </c>
      <c r="H212" s="22"/>
      <c r="I212" s="21">
        <v>0.2</v>
      </c>
      <c r="J212" s="21"/>
      <c r="K212" s="21"/>
      <c r="L212" s="21"/>
      <c r="M212" s="21">
        <v>15.0</v>
      </c>
      <c r="N212" s="21"/>
      <c r="O212" s="21"/>
      <c r="P212" s="21"/>
      <c r="Q212" s="21"/>
      <c r="R212" s="21"/>
      <c r="S212" s="21"/>
      <c r="T212" s="21"/>
      <c r="U212" s="21"/>
      <c r="V212" s="21"/>
    </row>
    <row r="213">
      <c r="A213" s="20" t="s">
        <v>22</v>
      </c>
      <c r="B213" s="6" t="s">
        <v>63</v>
      </c>
      <c r="C213" s="3" t="s">
        <v>138</v>
      </c>
      <c r="D213" s="20" t="s">
        <v>237</v>
      </c>
      <c r="E213" s="5"/>
      <c r="F213" s="20" t="s">
        <v>252</v>
      </c>
      <c r="G213" s="20" t="s">
        <v>252</v>
      </c>
      <c r="H213" s="22"/>
      <c r="I213" s="21">
        <v>0.35</v>
      </c>
      <c r="J213" s="21"/>
      <c r="K213" s="21"/>
      <c r="L213" s="21"/>
      <c r="M213" s="21">
        <v>16.4</v>
      </c>
      <c r="N213" s="21"/>
      <c r="O213" s="21"/>
      <c r="P213" s="21"/>
      <c r="Q213" s="21"/>
      <c r="R213" s="21"/>
      <c r="S213" s="21"/>
      <c r="T213" s="21"/>
      <c r="U213" s="21"/>
      <c r="V213" s="21"/>
    </row>
    <row r="214">
      <c r="A214" s="20" t="s">
        <v>22</v>
      </c>
      <c r="B214" s="6" t="s">
        <v>63</v>
      </c>
      <c r="C214" s="3" t="s">
        <v>138</v>
      </c>
      <c r="D214" s="20" t="s">
        <v>254</v>
      </c>
      <c r="E214" s="5"/>
      <c r="F214" s="20" t="s">
        <v>252</v>
      </c>
      <c r="G214" s="20" t="s">
        <v>252</v>
      </c>
      <c r="H214" s="22"/>
      <c r="I214" s="21">
        <v>0.2</v>
      </c>
      <c r="J214" s="21"/>
      <c r="K214" s="21"/>
      <c r="L214" s="21"/>
      <c r="M214" s="21">
        <v>19.6</v>
      </c>
      <c r="N214" s="21"/>
      <c r="O214" s="21"/>
      <c r="P214" s="21"/>
      <c r="Q214" s="21"/>
      <c r="R214" s="21"/>
      <c r="S214" s="21"/>
      <c r="T214" s="21"/>
      <c r="U214" s="21"/>
      <c r="V214" s="21"/>
    </row>
    <row r="215">
      <c r="A215" s="20" t="s">
        <v>22</v>
      </c>
      <c r="B215" s="6" t="s">
        <v>63</v>
      </c>
      <c r="C215" s="3" t="s">
        <v>138</v>
      </c>
      <c r="D215" s="20" t="s">
        <v>255</v>
      </c>
      <c r="E215" s="5"/>
      <c r="F215" s="20" t="s">
        <v>252</v>
      </c>
      <c r="G215" s="20" t="s">
        <v>252</v>
      </c>
      <c r="H215" s="22"/>
      <c r="I215" s="21">
        <v>0.9</v>
      </c>
      <c r="J215" s="21"/>
      <c r="K215" s="21"/>
      <c r="L215" s="21"/>
      <c r="M215" s="21">
        <v>11.9</v>
      </c>
      <c r="N215" s="21"/>
      <c r="O215" s="21"/>
      <c r="P215" s="21"/>
      <c r="Q215" s="21"/>
      <c r="R215" s="21"/>
      <c r="S215" s="21"/>
      <c r="T215" s="21"/>
      <c r="U215" s="21"/>
      <c r="V215" s="21"/>
    </row>
    <row r="216">
      <c r="A216" s="20" t="s">
        <v>22</v>
      </c>
      <c r="B216" s="6" t="s">
        <v>23</v>
      </c>
      <c r="C216" s="3" t="s">
        <v>138</v>
      </c>
      <c r="D216" s="20" t="s">
        <v>216</v>
      </c>
      <c r="E216" s="5"/>
      <c r="F216" s="20" t="s">
        <v>256</v>
      </c>
      <c r="G216" s="20" t="s">
        <v>256</v>
      </c>
      <c r="H216" s="21" t="s">
        <v>229</v>
      </c>
      <c r="I216" s="21">
        <v>1.52</v>
      </c>
      <c r="J216" s="21">
        <v>5.86</v>
      </c>
      <c r="K216" s="21">
        <v>11.85</v>
      </c>
      <c r="L216" s="21"/>
      <c r="M216" s="21">
        <v>8.63</v>
      </c>
      <c r="N216" s="21"/>
      <c r="O216" s="21"/>
      <c r="P216" s="21">
        <v>6.74</v>
      </c>
      <c r="Q216" s="21"/>
      <c r="R216" s="21"/>
      <c r="S216" s="21">
        <v>0.83</v>
      </c>
      <c r="T216" s="21"/>
      <c r="U216" s="21"/>
      <c r="V216" s="21"/>
    </row>
    <row r="217">
      <c r="A217" s="20" t="s">
        <v>22</v>
      </c>
      <c r="B217" s="6" t="s">
        <v>23</v>
      </c>
      <c r="C217" s="3" t="s">
        <v>138</v>
      </c>
      <c r="D217" s="20" t="s">
        <v>216</v>
      </c>
      <c r="E217" s="5"/>
      <c r="F217" s="20" t="s">
        <v>256</v>
      </c>
      <c r="G217" s="20" t="s">
        <v>256</v>
      </c>
      <c r="H217" s="21" t="s">
        <v>229</v>
      </c>
      <c r="I217" s="21">
        <v>0.27</v>
      </c>
      <c r="J217" s="21">
        <v>7.99</v>
      </c>
      <c r="K217" s="21">
        <v>7.44</v>
      </c>
      <c r="L217" s="21"/>
      <c r="M217" s="21">
        <v>10.12</v>
      </c>
      <c r="N217" s="21"/>
      <c r="O217" s="21"/>
      <c r="P217" s="21">
        <v>5.78</v>
      </c>
      <c r="Q217" s="21"/>
      <c r="R217" s="21"/>
      <c r="S217" s="21">
        <v>0.93</v>
      </c>
      <c r="T217" s="21"/>
      <c r="U217" s="21"/>
      <c r="V217" s="21"/>
    </row>
    <row r="218">
      <c r="A218" s="20" t="s">
        <v>22</v>
      </c>
      <c r="B218" s="6" t="s">
        <v>23</v>
      </c>
      <c r="C218" s="3" t="s">
        <v>138</v>
      </c>
      <c r="D218" s="20" t="s">
        <v>216</v>
      </c>
      <c r="E218" s="5"/>
      <c r="F218" s="20" t="s">
        <v>256</v>
      </c>
      <c r="G218" s="20" t="s">
        <v>256</v>
      </c>
      <c r="H218" s="21" t="s">
        <v>229</v>
      </c>
      <c r="I218" s="21">
        <v>0.08</v>
      </c>
      <c r="J218" s="21">
        <v>19.6</v>
      </c>
      <c r="K218" s="21">
        <v>3.77</v>
      </c>
      <c r="L218" s="21"/>
      <c r="M218" s="21">
        <v>5.73</v>
      </c>
      <c r="N218" s="21"/>
      <c r="O218" s="21"/>
      <c r="P218" s="21">
        <v>5.23</v>
      </c>
      <c r="Q218" s="21"/>
      <c r="R218" s="21"/>
      <c r="S218" s="21">
        <v>1.18</v>
      </c>
      <c r="T218" s="21"/>
      <c r="U218" s="21"/>
      <c r="V218" s="21"/>
    </row>
    <row r="219">
      <c r="A219" s="20" t="s">
        <v>22</v>
      </c>
      <c r="B219" s="6" t="s">
        <v>23</v>
      </c>
      <c r="C219" s="3" t="s">
        <v>138</v>
      </c>
      <c r="D219" s="20" t="s">
        <v>216</v>
      </c>
      <c r="E219" s="5"/>
      <c r="F219" s="20" t="s">
        <v>256</v>
      </c>
      <c r="G219" s="20" t="s">
        <v>256</v>
      </c>
      <c r="H219" s="21" t="s">
        <v>229</v>
      </c>
      <c r="I219" s="20">
        <v>0.37</v>
      </c>
      <c r="J219" s="20">
        <v>7.16</v>
      </c>
      <c r="K219" s="20">
        <v>7.76</v>
      </c>
      <c r="L219" s="20"/>
      <c r="M219" s="20">
        <v>12.18</v>
      </c>
      <c r="N219" s="20"/>
      <c r="O219" s="20"/>
      <c r="P219" s="20">
        <v>3.68</v>
      </c>
      <c r="Q219" s="20"/>
      <c r="R219" s="20"/>
      <c r="S219" s="20">
        <v>1.47</v>
      </c>
      <c r="T219" s="20"/>
      <c r="U219" s="20"/>
      <c r="V219" s="20"/>
    </row>
    <row r="220">
      <c r="A220" s="20" t="s">
        <v>22</v>
      </c>
      <c r="B220" s="6" t="s">
        <v>23</v>
      </c>
      <c r="C220" s="3" t="s">
        <v>138</v>
      </c>
      <c r="D220" s="20" t="s">
        <v>216</v>
      </c>
      <c r="E220" s="5"/>
      <c r="F220" s="20" t="s">
        <v>256</v>
      </c>
      <c r="G220" s="20" t="s">
        <v>256</v>
      </c>
      <c r="H220" s="21" t="s">
        <v>229</v>
      </c>
      <c r="I220" s="20">
        <v>0.45</v>
      </c>
      <c r="J220" s="20">
        <v>5.31</v>
      </c>
      <c r="K220" s="20">
        <v>7.25</v>
      </c>
      <c r="L220" s="20"/>
      <c r="M220" s="20">
        <v>12.94</v>
      </c>
      <c r="N220" s="20"/>
      <c r="O220" s="20"/>
      <c r="P220" s="20">
        <v>4.07</v>
      </c>
      <c r="Q220" s="20"/>
      <c r="R220" s="20"/>
      <c r="S220" s="20">
        <v>2.56</v>
      </c>
      <c r="T220" s="20"/>
      <c r="U220" s="20"/>
      <c r="V220" s="20"/>
    </row>
    <row r="221">
      <c r="A221" s="20" t="s">
        <v>22</v>
      </c>
      <c r="B221" s="6" t="s">
        <v>23</v>
      </c>
      <c r="C221" s="3" t="s">
        <v>138</v>
      </c>
      <c r="D221" s="20" t="s">
        <v>216</v>
      </c>
      <c r="E221" s="5"/>
      <c r="F221" s="20" t="s">
        <v>256</v>
      </c>
      <c r="G221" s="20" t="s">
        <v>256</v>
      </c>
      <c r="H221" s="21" t="s">
        <v>229</v>
      </c>
      <c r="I221" s="20">
        <v>1.04</v>
      </c>
      <c r="J221" s="20">
        <v>6.72</v>
      </c>
      <c r="K221" s="20">
        <v>11.12</v>
      </c>
      <c r="L221" s="20"/>
      <c r="M221" s="20">
        <v>12.49</v>
      </c>
      <c r="N221" s="20"/>
      <c r="O221" s="20"/>
      <c r="P221" s="20">
        <v>4.29</v>
      </c>
      <c r="Q221" s="20"/>
      <c r="R221" s="20"/>
      <c r="S221" s="20">
        <v>1.16</v>
      </c>
      <c r="T221" s="20"/>
      <c r="U221" s="20"/>
      <c r="V221" s="20"/>
    </row>
    <row r="222">
      <c r="A222" s="20" t="s">
        <v>22</v>
      </c>
      <c r="B222" s="6" t="s">
        <v>23</v>
      </c>
      <c r="C222" s="3" t="s">
        <v>138</v>
      </c>
      <c r="D222" s="20" t="s">
        <v>216</v>
      </c>
      <c r="E222" s="5"/>
      <c r="F222" s="20" t="s">
        <v>257</v>
      </c>
      <c r="G222" s="20" t="s">
        <v>257</v>
      </c>
      <c r="H222" s="21" t="s">
        <v>229</v>
      </c>
      <c r="I222" s="21">
        <v>0.9</v>
      </c>
      <c r="J222" s="21">
        <v>6.8</v>
      </c>
      <c r="K222" s="21">
        <v>11.8</v>
      </c>
      <c r="L222" s="21"/>
      <c r="M222" s="21">
        <v>11.8</v>
      </c>
      <c r="N222" s="21"/>
      <c r="O222" s="21">
        <v>31.2</v>
      </c>
      <c r="P222" s="21">
        <v>4.6</v>
      </c>
      <c r="Q222" s="21">
        <v>1.6</v>
      </c>
      <c r="R222" s="21"/>
      <c r="S222" s="21">
        <v>3.5</v>
      </c>
      <c r="T222" s="21"/>
      <c r="U222" s="21"/>
      <c r="V222" s="21">
        <v>9.8</v>
      </c>
    </row>
    <row r="223">
      <c r="A223" s="20" t="s">
        <v>22</v>
      </c>
      <c r="B223" s="6" t="s">
        <v>23</v>
      </c>
      <c r="C223" s="3" t="s">
        <v>138</v>
      </c>
      <c r="D223" s="20" t="s">
        <v>258</v>
      </c>
      <c r="E223" s="5"/>
      <c r="F223" s="20" t="s">
        <v>257</v>
      </c>
      <c r="G223" s="20" t="s">
        <v>257</v>
      </c>
      <c r="H223" s="21" t="s">
        <v>229</v>
      </c>
      <c r="I223" s="21">
        <v>2.6</v>
      </c>
      <c r="J223" s="21">
        <v>7.6</v>
      </c>
      <c r="K223" s="21">
        <v>10.4</v>
      </c>
      <c r="L223" s="21"/>
      <c r="M223" s="21">
        <v>14.4</v>
      </c>
      <c r="N223" s="21"/>
      <c r="O223" s="21">
        <v>35.0</v>
      </c>
      <c r="P223" s="21">
        <v>5.3</v>
      </c>
      <c r="Q223" s="21">
        <v>0.6</v>
      </c>
      <c r="R223" s="21"/>
      <c r="S223" s="21">
        <v>4.7</v>
      </c>
      <c r="T223" s="21"/>
      <c r="U223" s="21">
        <v>0.6</v>
      </c>
      <c r="V223" s="21">
        <v>10.6</v>
      </c>
    </row>
    <row r="224">
      <c r="A224" s="20" t="s">
        <v>22</v>
      </c>
      <c r="B224" s="6" t="s">
        <v>23</v>
      </c>
      <c r="C224" s="3" t="s">
        <v>138</v>
      </c>
      <c r="D224" s="20" t="s">
        <v>230</v>
      </c>
      <c r="E224" s="5"/>
      <c r="F224" s="20" t="s">
        <v>257</v>
      </c>
      <c r="G224" s="20" t="s">
        <v>257</v>
      </c>
      <c r="H224" s="21" t="s">
        <v>229</v>
      </c>
      <c r="I224" s="21">
        <v>2.1</v>
      </c>
      <c r="J224" s="21">
        <v>6.7</v>
      </c>
      <c r="K224" s="21">
        <v>11.0</v>
      </c>
      <c r="L224" s="21"/>
      <c r="M224" s="21">
        <v>17.5</v>
      </c>
      <c r="N224" s="21"/>
      <c r="O224" s="21">
        <v>37.3</v>
      </c>
      <c r="P224" s="21">
        <v>4.1</v>
      </c>
      <c r="Q224" s="21">
        <v>0.8</v>
      </c>
      <c r="R224" s="21"/>
      <c r="S224" s="21">
        <v>6.8</v>
      </c>
      <c r="T224" s="21"/>
      <c r="U224" s="21"/>
      <c r="V224" s="21">
        <v>11.6</v>
      </c>
    </row>
    <row r="225">
      <c r="A225" s="20" t="s">
        <v>22</v>
      </c>
      <c r="B225" s="6" t="s">
        <v>23</v>
      </c>
      <c r="C225" s="3" t="s">
        <v>138</v>
      </c>
      <c r="D225" s="20" t="s">
        <v>259</v>
      </c>
      <c r="E225" s="5"/>
      <c r="F225" s="20" t="s">
        <v>257</v>
      </c>
      <c r="G225" s="20" t="s">
        <v>257</v>
      </c>
      <c r="H225" s="21" t="s">
        <v>229</v>
      </c>
      <c r="I225" s="21">
        <v>2.1</v>
      </c>
      <c r="J225" s="21">
        <v>5.3</v>
      </c>
      <c r="K225" s="21">
        <v>4.1</v>
      </c>
      <c r="L225" s="21"/>
      <c r="M225" s="21">
        <v>23.0</v>
      </c>
      <c r="N225" s="21"/>
      <c r="O225" s="21">
        <v>34.4</v>
      </c>
      <c r="P225" s="21">
        <v>3.6</v>
      </c>
      <c r="Q225" s="21">
        <v>0.6</v>
      </c>
      <c r="R225" s="21"/>
      <c r="S225" s="21">
        <v>9.3</v>
      </c>
      <c r="T225" s="21"/>
      <c r="U225" s="21"/>
      <c r="V225" s="21">
        <v>13.5</v>
      </c>
    </row>
    <row r="226">
      <c r="A226" s="20" t="s">
        <v>22</v>
      </c>
      <c r="B226" s="6" t="s">
        <v>23</v>
      </c>
      <c r="C226" s="3" t="s">
        <v>138</v>
      </c>
      <c r="D226" s="20" t="s">
        <v>223</v>
      </c>
      <c r="E226" s="5"/>
      <c r="F226" s="20" t="s">
        <v>257</v>
      </c>
      <c r="G226" s="20" t="s">
        <v>257</v>
      </c>
      <c r="H226" s="3" t="s">
        <v>141</v>
      </c>
      <c r="I226" s="21">
        <v>13.6</v>
      </c>
      <c r="J226" s="21">
        <v>7.4</v>
      </c>
      <c r="K226" s="21">
        <v>14.4</v>
      </c>
      <c r="L226" s="21"/>
      <c r="M226" s="21">
        <v>6.9</v>
      </c>
      <c r="N226" s="21"/>
      <c r="O226" s="21">
        <v>42.4</v>
      </c>
      <c r="P226" s="21">
        <v>4.8</v>
      </c>
      <c r="Q226" s="21">
        <v>0.9</v>
      </c>
      <c r="R226" s="21"/>
      <c r="S226" s="21">
        <v>1.7</v>
      </c>
      <c r="T226" s="21"/>
      <c r="U226" s="21">
        <v>3.3</v>
      </c>
      <c r="V226" s="21">
        <v>10.8</v>
      </c>
    </row>
    <row r="227">
      <c r="A227" s="20" t="s">
        <v>22</v>
      </c>
      <c r="B227" s="6" t="s">
        <v>23</v>
      </c>
      <c r="C227" s="3" t="s">
        <v>138</v>
      </c>
      <c r="D227" s="20" t="s">
        <v>260</v>
      </c>
      <c r="E227" s="5"/>
      <c r="F227" s="20" t="s">
        <v>257</v>
      </c>
      <c r="G227" s="20" t="s">
        <v>257</v>
      </c>
      <c r="H227" s="3" t="s">
        <v>141</v>
      </c>
      <c r="I227" s="21">
        <v>20.0</v>
      </c>
      <c r="J227" s="21">
        <v>4.1</v>
      </c>
      <c r="K227" s="21">
        <v>6.7</v>
      </c>
      <c r="L227" s="21"/>
      <c r="M227" s="21">
        <v>10.9</v>
      </c>
      <c r="N227" s="21"/>
      <c r="O227" s="21">
        <v>42.4</v>
      </c>
      <c r="P227" s="21">
        <v>3.6</v>
      </c>
      <c r="Q227" s="21">
        <v>0.7</v>
      </c>
      <c r="R227" s="21"/>
      <c r="S227" s="21">
        <v>3.7</v>
      </c>
      <c r="T227" s="21"/>
      <c r="U227" s="21">
        <v>4.3</v>
      </c>
      <c r="V227" s="21">
        <v>11.6</v>
      </c>
    </row>
    <row r="228">
      <c r="A228" s="20" t="s">
        <v>22</v>
      </c>
      <c r="B228" s="6" t="s">
        <v>63</v>
      </c>
      <c r="C228" s="3" t="s">
        <v>138</v>
      </c>
      <c r="D228" s="20" t="s">
        <v>261</v>
      </c>
      <c r="E228" s="5"/>
      <c r="F228" s="3" t="s">
        <v>262</v>
      </c>
      <c r="G228" s="3" t="s">
        <v>262</v>
      </c>
      <c r="H228" s="21" t="s">
        <v>233</v>
      </c>
      <c r="I228" s="3">
        <v>2.0</v>
      </c>
      <c r="J228" s="3">
        <v>6.4</v>
      </c>
      <c r="K228" s="3"/>
      <c r="L228" s="3"/>
      <c r="M228" s="3">
        <v>9.3</v>
      </c>
      <c r="N228" s="3">
        <v>0.5</v>
      </c>
      <c r="O228" s="3"/>
      <c r="P228" s="3">
        <v>18.2</v>
      </c>
      <c r="Q228" s="3"/>
      <c r="R228" s="3"/>
      <c r="S228" s="3">
        <v>2.9</v>
      </c>
      <c r="T228" s="3"/>
      <c r="U228" s="3"/>
      <c r="V228" s="3"/>
    </row>
    <row r="229">
      <c r="A229" s="20" t="s">
        <v>22</v>
      </c>
      <c r="B229" s="6" t="s">
        <v>63</v>
      </c>
      <c r="C229" s="3" t="s">
        <v>138</v>
      </c>
      <c r="D229" s="20" t="s">
        <v>263</v>
      </c>
      <c r="E229" s="5"/>
      <c r="F229" s="3" t="s">
        <v>262</v>
      </c>
      <c r="G229" s="3" t="s">
        <v>262</v>
      </c>
      <c r="H229" s="21" t="s">
        <v>233</v>
      </c>
      <c r="I229" s="21">
        <v>1.5</v>
      </c>
      <c r="J229" s="21">
        <v>4.5</v>
      </c>
      <c r="K229" s="21"/>
      <c r="L229" s="21"/>
      <c r="M229" s="21">
        <v>5.0</v>
      </c>
      <c r="N229" s="21">
        <v>0.5</v>
      </c>
      <c r="O229" s="21"/>
      <c r="P229" s="21">
        <v>13.0</v>
      </c>
      <c r="Q229" s="21"/>
      <c r="R229" s="21"/>
      <c r="S229" s="21">
        <v>2.2</v>
      </c>
      <c r="T229" s="21"/>
      <c r="U229" s="21"/>
      <c r="V229" s="21"/>
    </row>
    <row r="230">
      <c r="A230" s="20" t="s">
        <v>22</v>
      </c>
      <c r="B230" s="6" t="s">
        <v>63</v>
      </c>
      <c r="C230" s="3" t="s">
        <v>138</v>
      </c>
      <c r="D230" s="20" t="s">
        <v>264</v>
      </c>
      <c r="E230" s="5"/>
      <c r="F230" s="3" t="s">
        <v>262</v>
      </c>
      <c r="G230" s="3" t="s">
        <v>262</v>
      </c>
      <c r="H230" s="21" t="s">
        <v>233</v>
      </c>
      <c r="I230" s="21">
        <v>4.2</v>
      </c>
      <c r="J230" s="21">
        <v>7.1</v>
      </c>
      <c r="K230" s="21"/>
      <c r="L230" s="21"/>
      <c r="M230" s="21">
        <v>13.3</v>
      </c>
      <c r="N230" s="21">
        <v>0.9</v>
      </c>
      <c r="O230" s="21"/>
      <c r="P230" s="21">
        <v>15.1</v>
      </c>
      <c r="Q230" s="21"/>
      <c r="R230" s="21"/>
      <c r="S230" s="21">
        <v>5.2</v>
      </c>
      <c r="T230" s="21"/>
      <c r="U230" s="21"/>
      <c r="V230" s="21"/>
    </row>
    <row r="231">
      <c r="A231" s="20" t="s">
        <v>22</v>
      </c>
      <c r="B231" s="6" t="s">
        <v>63</v>
      </c>
      <c r="C231" s="3" t="s">
        <v>138</v>
      </c>
      <c r="D231" s="20" t="s">
        <v>265</v>
      </c>
      <c r="E231" s="5"/>
      <c r="F231" s="3" t="s">
        <v>262</v>
      </c>
      <c r="G231" s="3" t="s">
        <v>262</v>
      </c>
      <c r="H231" s="21" t="s">
        <v>233</v>
      </c>
      <c r="I231" s="21">
        <v>3.4</v>
      </c>
      <c r="J231" s="21">
        <v>2.2</v>
      </c>
      <c r="K231" s="21"/>
      <c r="L231" s="21"/>
      <c r="M231" s="21">
        <v>16.2</v>
      </c>
      <c r="N231" s="21">
        <v>1.6</v>
      </c>
      <c r="O231" s="21"/>
      <c r="P231" s="21">
        <v>5.1</v>
      </c>
      <c r="Q231" s="21"/>
      <c r="R231" s="21"/>
      <c r="S231" s="21">
        <v>3.8</v>
      </c>
      <c r="T231" s="21"/>
      <c r="U231" s="21"/>
      <c r="V231" s="21"/>
    </row>
    <row r="232">
      <c r="A232" s="20" t="s">
        <v>22</v>
      </c>
      <c r="B232" s="6" t="s">
        <v>63</v>
      </c>
      <c r="C232" s="3" t="s">
        <v>138</v>
      </c>
      <c r="D232" s="20" t="s">
        <v>266</v>
      </c>
      <c r="E232" s="5"/>
      <c r="F232" s="3" t="s">
        <v>262</v>
      </c>
      <c r="G232" s="3" t="s">
        <v>262</v>
      </c>
      <c r="H232" s="21" t="s">
        <v>233</v>
      </c>
      <c r="I232" s="21">
        <v>3.3</v>
      </c>
      <c r="J232" s="21">
        <v>2.5</v>
      </c>
      <c r="K232" s="21"/>
      <c r="L232" s="21"/>
      <c r="M232" s="21">
        <v>15.9</v>
      </c>
      <c r="N232" s="21">
        <v>2.4</v>
      </c>
      <c r="O232" s="21"/>
      <c r="P232" s="21">
        <v>6.2</v>
      </c>
      <c r="Q232" s="21"/>
      <c r="R232" s="21"/>
      <c r="S232" s="21">
        <v>4.0</v>
      </c>
      <c r="T232" s="21"/>
      <c r="U232" s="21"/>
      <c r="V232" s="21"/>
    </row>
    <row r="233">
      <c r="A233" s="5"/>
      <c r="B233" s="5"/>
      <c r="C233" s="5"/>
      <c r="D233" s="5"/>
      <c r="E233" s="5"/>
      <c r="F233" s="5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</row>
    <row r="234">
      <c r="A234" s="5"/>
      <c r="B234" s="5"/>
      <c r="C234" s="5"/>
      <c r="D234" s="5"/>
      <c r="E234" s="5"/>
      <c r="F234" s="5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</row>
    <row r="235">
      <c r="A235" s="5"/>
      <c r="B235" s="5"/>
      <c r="C235" s="5"/>
      <c r="D235" s="5"/>
      <c r="E235" s="5"/>
      <c r="F235" s="5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</row>
    <row r="236">
      <c r="A236" s="5"/>
      <c r="B236" s="5"/>
      <c r="C236" s="5"/>
      <c r="D236" s="5"/>
      <c r="E236" s="5"/>
      <c r="F236" s="5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</row>
    <row r="237">
      <c r="A237" s="5"/>
      <c r="B237" s="5"/>
      <c r="C237" s="5"/>
      <c r="D237" s="5"/>
      <c r="E237" s="5"/>
      <c r="F237" s="5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</row>
    <row r="238">
      <c r="A238" s="5"/>
      <c r="B238" s="5"/>
      <c r="C238" s="5"/>
      <c r="D238" s="5"/>
      <c r="E238" s="5"/>
      <c r="F238" s="5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</row>
    <row r="239">
      <c r="A239" s="5"/>
      <c r="B239" s="5"/>
      <c r="C239" s="5"/>
      <c r="D239" s="5"/>
      <c r="E239" s="5"/>
      <c r="F239" s="5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</row>
    <row r="240">
      <c r="A240" s="5"/>
      <c r="B240" s="5"/>
      <c r="C240" s="5"/>
      <c r="D240" s="5"/>
      <c r="E240" s="5"/>
      <c r="F240" s="5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</row>
    <row r="241">
      <c r="A241" s="5"/>
      <c r="B241" s="5"/>
      <c r="C241" s="5"/>
      <c r="D241" s="5"/>
      <c r="E241" s="5"/>
      <c r="F241" s="5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</row>
    <row r="242">
      <c r="A242" s="5"/>
      <c r="B242" s="5"/>
      <c r="C242" s="5"/>
      <c r="D242" s="5"/>
      <c r="E242" s="5"/>
      <c r="F242" s="5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</row>
    <row r="243">
      <c r="A243" s="5"/>
      <c r="B243" s="5"/>
      <c r="C243" s="5"/>
      <c r="D243" s="5"/>
      <c r="E243" s="5"/>
      <c r="F243" s="5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</row>
    <row r="244">
      <c r="A244" s="5"/>
      <c r="B244" s="5"/>
      <c r="C244" s="5"/>
      <c r="D244" s="5"/>
      <c r="E244" s="5"/>
      <c r="F244" s="5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</row>
    <row r="245">
      <c r="A245" s="5"/>
      <c r="B245" s="5"/>
      <c r="C245" s="5"/>
      <c r="D245" s="5"/>
      <c r="E245" s="5"/>
      <c r="F245" s="5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</row>
    <row r="246">
      <c r="A246" s="5"/>
      <c r="B246" s="5"/>
      <c r="C246" s="5"/>
      <c r="D246" s="5"/>
      <c r="E246" s="5"/>
      <c r="F246" s="5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</row>
    <row r="247">
      <c r="A247" s="5"/>
      <c r="B247" s="5"/>
      <c r="C247" s="5"/>
      <c r="D247" s="5"/>
      <c r="E247" s="5"/>
      <c r="F247" s="5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</row>
    <row r="248">
      <c r="A248" s="5"/>
      <c r="B248" s="5"/>
      <c r="C248" s="5"/>
      <c r="D248" s="5"/>
      <c r="E248" s="5"/>
      <c r="F248" s="5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</row>
    <row r="249">
      <c r="A249" s="5"/>
      <c r="B249" s="5"/>
      <c r="C249" s="5"/>
      <c r="D249" s="5"/>
      <c r="E249" s="5"/>
      <c r="F249" s="5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</row>
    <row r="250">
      <c r="A250" s="5"/>
      <c r="B250" s="5"/>
      <c r="C250" s="5"/>
      <c r="D250" s="5"/>
      <c r="E250" s="5"/>
      <c r="F250" s="5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</row>
    <row r="251">
      <c r="A251" s="5"/>
      <c r="B251" s="5"/>
      <c r="C251" s="5"/>
      <c r="D251" s="5"/>
      <c r="E251" s="5"/>
      <c r="F251" s="5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</row>
    <row r="252">
      <c r="A252" s="5"/>
      <c r="B252" s="5"/>
      <c r="C252" s="5"/>
      <c r="D252" s="5"/>
      <c r="E252" s="5"/>
      <c r="F252" s="5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</row>
    <row r="253">
      <c r="A253" s="5"/>
      <c r="B253" s="5"/>
      <c r="C253" s="5"/>
      <c r="D253" s="5"/>
      <c r="E253" s="5"/>
      <c r="F253" s="5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</row>
    <row r="254">
      <c r="A254" s="5"/>
      <c r="B254" s="5"/>
      <c r="C254" s="5"/>
      <c r="D254" s="5"/>
      <c r="E254" s="5"/>
      <c r="F254" s="5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</row>
    <row r="255">
      <c r="A255" s="5"/>
      <c r="B255" s="5"/>
      <c r="C255" s="5"/>
      <c r="D255" s="5"/>
      <c r="E255" s="5"/>
      <c r="F255" s="5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</row>
    <row r="256">
      <c r="A256" s="5"/>
      <c r="B256" s="5"/>
      <c r="C256" s="5"/>
      <c r="D256" s="5"/>
      <c r="E256" s="5"/>
      <c r="F256" s="5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</row>
    <row r="257">
      <c r="A257" s="5"/>
      <c r="B257" s="5"/>
      <c r="C257" s="5"/>
      <c r="D257" s="5"/>
      <c r="E257" s="5"/>
      <c r="F257" s="5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</row>
    <row r="258">
      <c r="A258" s="5"/>
      <c r="B258" s="5"/>
      <c r="C258" s="5"/>
      <c r="D258" s="5"/>
      <c r="E258" s="5"/>
      <c r="F258" s="5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>
      <c r="A259" s="5"/>
      <c r="B259" s="5"/>
      <c r="C259" s="5"/>
      <c r="D259" s="5"/>
      <c r="E259" s="5"/>
      <c r="F259" s="5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>
      <c r="A260" s="5"/>
      <c r="B260" s="5"/>
      <c r="C260" s="5"/>
      <c r="D260" s="5"/>
      <c r="E260" s="5"/>
      <c r="F260" s="5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</row>
    <row r="261">
      <c r="A261" s="5"/>
      <c r="B261" s="5"/>
      <c r="C261" s="5"/>
      <c r="D261" s="5"/>
      <c r="E261" s="5"/>
      <c r="F261" s="5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</row>
    <row r="262">
      <c r="A262" s="5"/>
      <c r="B262" s="5"/>
      <c r="C262" s="5"/>
      <c r="D262" s="5"/>
      <c r="E262" s="5"/>
      <c r="F262" s="5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</row>
    <row r="263">
      <c r="A263" s="5"/>
      <c r="B263" s="5"/>
      <c r="C263" s="5"/>
      <c r="D263" s="5"/>
      <c r="E263" s="5"/>
      <c r="F263" s="5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</row>
    <row r="264">
      <c r="A264" s="5"/>
      <c r="B264" s="5"/>
      <c r="C264" s="5"/>
      <c r="D264" s="5"/>
      <c r="E264" s="5"/>
      <c r="F264" s="5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</row>
    <row r="265">
      <c r="A265" s="5"/>
      <c r="B265" s="5"/>
      <c r="C265" s="5"/>
      <c r="D265" s="5"/>
      <c r="E265" s="5"/>
      <c r="F265" s="5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</row>
    <row r="266">
      <c r="A266" s="5"/>
      <c r="B266" s="5"/>
      <c r="C266" s="5"/>
      <c r="D266" s="5"/>
      <c r="E266" s="5"/>
      <c r="F266" s="5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</row>
    <row r="267">
      <c r="A267" s="5"/>
      <c r="B267" s="5"/>
      <c r="C267" s="5"/>
      <c r="D267" s="5"/>
      <c r="E267" s="5"/>
      <c r="F267" s="5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</row>
    <row r="268">
      <c r="A268" s="5"/>
      <c r="B268" s="5"/>
      <c r="C268" s="5"/>
      <c r="D268" s="5"/>
      <c r="E268" s="5"/>
      <c r="F268" s="5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</row>
    <row r="269">
      <c r="A269" s="5"/>
      <c r="B269" s="5"/>
      <c r="C269" s="5"/>
      <c r="D269" s="5"/>
      <c r="E269" s="5"/>
      <c r="F269" s="5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</row>
    <row r="270">
      <c r="A270" s="5"/>
      <c r="B270" s="5"/>
      <c r="C270" s="5"/>
      <c r="D270" s="5"/>
      <c r="E270" s="5"/>
      <c r="F270" s="5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</row>
    <row r="271">
      <c r="A271" s="5"/>
      <c r="B271" s="5"/>
      <c r="C271" s="5"/>
      <c r="D271" s="5"/>
      <c r="E271" s="5"/>
      <c r="F271" s="5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</row>
    <row r="272">
      <c r="A272" s="5"/>
      <c r="B272" s="5"/>
      <c r="C272" s="5"/>
      <c r="D272" s="5"/>
      <c r="E272" s="5"/>
      <c r="F272" s="5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</row>
    <row r="273">
      <c r="A273" s="5"/>
      <c r="B273" s="5"/>
      <c r="C273" s="5"/>
      <c r="D273" s="5"/>
      <c r="E273" s="5"/>
      <c r="F273" s="5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</row>
    <row r="274">
      <c r="A274" s="5"/>
      <c r="B274" s="5"/>
      <c r="C274" s="5"/>
      <c r="D274" s="5"/>
      <c r="E274" s="5"/>
      <c r="F274" s="5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</row>
    <row r="275">
      <c r="A275" s="5"/>
      <c r="B275" s="5"/>
      <c r="C275" s="5"/>
      <c r="D275" s="5"/>
      <c r="E275" s="5"/>
      <c r="F275" s="5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</row>
    <row r="276">
      <c r="A276" s="5"/>
      <c r="B276" s="5"/>
      <c r="C276" s="5"/>
      <c r="D276" s="5"/>
      <c r="E276" s="5"/>
      <c r="F276" s="5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</row>
    <row r="277">
      <c r="A277" s="5"/>
      <c r="B277" s="5"/>
      <c r="C277" s="5"/>
      <c r="D277" s="5"/>
      <c r="E277" s="5"/>
      <c r="F277" s="5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</row>
    <row r="278">
      <c r="A278" s="5"/>
      <c r="B278" s="5"/>
      <c r="C278" s="5"/>
      <c r="D278" s="5"/>
      <c r="E278" s="5"/>
      <c r="F278" s="5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</row>
    <row r="279">
      <c r="A279" s="5"/>
      <c r="B279" s="5"/>
      <c r="C279" s="5"/>
      <c r="D279" s="5"/>
      <c r="E279" s="5"/>
      <c r="F279" s="5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>
      <c r="A280" s="5"/>
      <c r="B280" s="5"/>
      <c r="C280" s="5"/>
      <c r="D280" s="5"/>
      <c r="E280" s="5"/>
      <c r="F280" s="5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</row>
    <row r="281">
      <c r="A281" s="5"/>
      <c r="B281" s="5"/>
      <c r="C281" s="5"/>
      <c r="D281" s="5"/>
      <c r="E281" s="5"/>
      <c r="F281" s="5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</row>
    <row r="282">
      <c r="A282" s="5"/>
      <c r="B282" s="5"/>
      <c r="C282" s="5"/>
      <c r="D282" s="5"/>
      <c r="E282" s="5"/>
      <c r="F282" s="5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</row>
    <row r="283">
      <c r="A283" s="5"/>
      <c r="B283" s="5"/>
      <c r="C283" s="5"/>
      <c r="D283" s="5"/>
      <c r="E283" s="5"/>
      <c r="F283" s="5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</row>
    <row r="284">
      <c r="A284" s="5"/>
      <c r="B284" s="5"/>
      <c r="C284" s="5"/>
      <c r="D284" s="5"/>
      <c r="E284" s="5"/>
      <c r="F284" s="5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</row>
    <row r="285">
      <c r="A285" s="5"/>
      <c r="B285" s="5"/>
      <c r="C285" s="5"/>
      <c r="D285" s="5"/>
      <c r="E285" s="5"/>
      <c r="F285" s="5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</row>
    <row r="286">
      <c r="A286" s="5"/>
      <c r="B286" s="5"/>
      <c r="C286" s="5"/>
      <c r="D286" s="5"/>
      <c r="E286" s="5"/>
      <c r="F286" s="5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</row>
    <row r="287">
      <c r="A287" s="5"/>
      <c r="B287" s="5"/>
      <c r="C287" s="5"/>
      <c r="D287" s="5"/>
      <c r="E287" s="5"/>
      <c r="F287" s="5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</row>
    <row r="288">
      <c r="A288" s="5"/>
      <c r="B288" s="5"/>
      <c r="C288" s="5"/>
      <c r="D288" s="5"/>
      <c r="E288" s="5"/>
      <c r="F288" s="5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</row>
    <row r="289">
      <c r="A289" s="5"/>
      <c r="B289" s="5"/>
      <c r="C289" s="5"/>
      <c r="D289" s="5"/>
      <c r="E289" s="5"/>
      <c r="F289" s="5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</row>
    <row r="290">
      <c r="A290" s="5"/>
      <c r="B290" s="5"/>
      <c r="C290" s="5"/>
      <c r="D290" s="5"/>
      <c r="E290" s="5"/>
      <c r="F290" s="5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</row>
    <row r="291">
      <c r="A291" s="5"/>
      <c r="B291" s="5"/>
      <c r="C291" s="5"/>
      <c r="D291" s="5"/>
      <c r="E291" s="5"/>
      <c r="F291" s="5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</row>
    <row r="292">
      <c r="A292" s="5"/>
      <c r="B292" s="5"/>
      <c r="C292" s="5"/>
      <c r="D292" s="5"/>
      <c r="E292" s="5"/>
      <c r="F292" s="5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</row>
    <row r="293">
      <c r="A293" s="5"/>
      <c r="B293" s="5"/>
      <c r="C293" s="5"/>
      <c r="D293" s="5"/>
      <c r="E293" s="5"/>
      <c r="F293" s="5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</row>
    <row r="294">
      <c r="A294" s="5"/>
      <c r="B294" s="5"/>
      <c r="C294" s="5"/>
      <c r="D294" s="5"/>
      <c r="E294" s="5"/>
      <c r="F294" s="5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>
      <c r="A295" s="5"/>
      <c r="B295" s="5"/>
      <c r="C295" s="5"/>
      <c r="D295" s="5"/>
      <c r="E295" s="5"/>
      <c r="F295" s="5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>
      <c r="A296" s="5"/>
      <c r="B296" s="5"/>
      <c r="C296" s="5"/>
      <c r="D296" s="5"/>
      <c r="E296" s="5"/>
      <c r="F296" s="5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>
      <c r="A297" s="5"/>
      <c r="B297" s="5"/>
      <c r="C297" s="5"/>
      <c r="D297" s="5"/>
      <c r="E297" s="5"/>
      <c r="F297" s="5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>
      <c r="A298" s="5"/>
      <c r="B298" s="5"/>
      <c r="C298" s="5"/>
      <c r="D298" s="5"/>
      <c r="E298" s="5"/>
      <c r="F298" s="5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>
      <c r="A299" s="5"/>
      <c r="B299" s="5"/>
      <c r="C299" s="5"/>
      <c r="D299" s="5"/>
      <c r="E299" s="5"/>
      <c r="F299" s="5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>
      <c r="A300" s="5"/>
      <c r="B300" s="5"/>
      <c r="C300" s="5"/>
      <c r="D300" s="5"/>
      <c r="E300" s="5"/>
      <c r="F300" s="5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</row>
    <row r="301">
      <c r="A301" s="5"/>
      <c r="B301" s="5"/>
      <c r="C301" s="5"/>
      <c r="D301" s="5"/>
      <c r="E301" s="5"/>
      <c r="F301" s="5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>
      <c r="A302" s="5"/>
      <c r="B302" s="5"/>
      <c r="C302" s="5"/>
      <c r="D302" s="5"/>
      <c r="E302" s="5"/>
      <c r="F302" s="5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>
      <c r="A303" s="5"/>
      <c r="B303" s="5"/>
      <c r="C303" s="5"/>
      <c r="D303" s="5"/>
      <c r="E303" s="5"/>
      <c r="F303" s="5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</row>
    <row r="304">
      <c r="A304" s="5"/>
      <c r="B304" s="5"/>
      <c r="C304" s="5"/>
      <c r="D304" s="5"/>
      <c r="E304" s="5"/>
      <c r="F304" s="5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</row>
    <row r="305">
      <c r="A305" s="5"/>
      <c r="B305" s="5"/>
      <c r="C305" s="5"/>
      <c r="D305" s="5"/>
      <c r="E305" s="5"/>
      <c r="F305" s="5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</row>
    <row r="306">
      <c r="A306" s="5"/>
      <c r="B306" s="5"/>
      <c r="C306" s="5"/>
      <c r="D306" s="5"/>
      <c r="E306" s="5"/>
      <c r="F306" s="5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</row>
    <row r="307">
      <c r="A307" s="5"/>
      <c r="B307" s="5"/>
      <c r="C307" s="5"/>
      <c r="D307" s="5"/>
      <c r="E307" s="5"/>
      <c r="F307" s="5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</row>
    <row r="308">
      <c r="A308" s="5"/>
      <c r="B308" s="5"/>
      <c r="C308" s="5"/>
      <c r="D308" s="5"/>
      <c r="E308" s="5"/>
      <c r="F308" s="5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</row>
    <row r="309">
      <c r="A309" s="5"/>
      <c r="B309" s="5"/>
      <c r="C309" s="5"/>
      <c r="D309" s="5"/>
      <c r="E309" s="5"/>
      <c r="F309" s="5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</row>
    <row r="310">
      <c r="A310" s="5"/>
      <c r="B310" s="5"/>
      <c r="C310" s="5"/>
      <c r="D310" s="5"/>
      <c r="E310" s="5"/>
      <c r="F310" s="5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</row>
    <row r="311">
      <c r="A311" s="5"/>
      <c r="B311" s="5"/>
      <c r="C311" s="5"/>
      <c r="D311" s="5"/>
      <c r="E311" s="5"/>
      <c r="F311" s="5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</row>
    <row r="312">
      <c r="A312" s="5"/>
      <c r="B312" s="5"/>
      <c r="C312" s="5"/>
      <c r="D312" s="5"/>
      <c r="E312" s="5"/>
      <c r="F312" s="5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</row>
    <row r="313">
      <c r="A313" s="5"/>
      <c r="B313" s="5"/>
      <c r="C313" s="5"/>
      <c r="D313" s="5"/>
      <c r="E313" s="5"/>
      <c r="F313" s="5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</row>
    <row r="314">
      <c r="A314" s="5"/>
      <c r="B314" s="5"/>
      <c r="C314" s="5"/>
      <c r="D314" s="5"/>
      <c r="E314" s="5"/>
      <c r="F314" s="5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</row>
    <row r="315">
      <c r="A315" s="5"/>
      <c r="B315" s="5"/>
      <c r="C315" s="5"/>
      <c r="D315" s="5"/>
      <c r="E315" s="5"/>
      <c r="F315" s="5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</row>
    <row r="316">
      <c r="A316" s="5"/>
      <c r="B316" s="5"/>
      <c r="C316" s="5"/>
      <c r="D316" s="5"/>
      <c r="E316" s="5"/>
      <c r="F316" s="5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</row>
    <row r="317">
      <c r="A317" s="5"/>
      <c r="B317" s="5"/>
      <c r="C317" s="5"/>
      <c r="D317" s="5"/>
      <c r="E317" s="5"/>
      <c r="F317" s="5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</row>
    <row r="318">
      <c r="A318" s="5"/>
      <c r="B318" s="5"/>
      <c r="C318" s="5"/>
      <c r="D318" s="5"/>
      <c r="E318" s="5"/>
      <c r="F318" s="5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</row>
    <row r="319">
      <c r="A319" s="5"/>
      <c r="B319" s="5"/>
      <c r="C319" s="5"/>
      <c r="D319" s="5"/>
      <c r="E319" s="5"/>
      <c r="F319" s="5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</row>
    <row r="320">
      <c r="A320" s="5"/>
      <c r="B320" s="5"/>
      <c r="C320" s="5"/>
      <c r="D320" s="5"/>
      <c r="E320" s="5"/>
      <c r="F320" s="5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</row>
    <row r="321">
      <c r="A321" s="5"/>
      <c r="B321" s="5"/>
      <c r="C321" s="5"/>
      <c r="D321" s="5"/>
      <c r="E321" s="5"/>
      <c r="F321" s="5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</row>
    <row r="322">
      <c r="A322" s="5"/>
      <c r="B322" s="5"/>
      <c r="C322" s="5"/>
      <c r="D322" s="5"/>
      <c r="E322" s="5"/>
      <c r="F322" s="5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</row>
    <row r="323">
      <c r="A323" s="5"/>
      <c r="B323" s="5"/>
      <c r="C323" s="5"/>
      <c r="D323" s="5"/>
      <c r="E323" s="5"/>
      <c r="F323" s="5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</row>
    <row r="324">
      <c r="A324" s="5"/>
      <c r="B324" s="5"/>
      <c r="C324" s="5"/>
      <c r="D324" s="5"/>
      <c r="E324" s="5"/>
      <c r="F324" s="5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</row>
    <row r="325">
      <c r="A325" s="5"/>
      <c r="B325" s="5"/>
      <c r="C325" s="5"/>
      <c r="D325" s="5"/>
      <c r="E325" s="5"/>
      <c r="F325" s="5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</row>
    <row r="326">
      <c r="A326" s="5"/>
      <c r="B326" s="5"/>
      <c r="C326" s="5"/>
      <c r="D326" s="5"/>
      <c r="E326" s="5"/>
      <c r="F326" s="5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</row>
    <row r="327">
      <c r="A327" s="5"/>
      <c r="B327" s="5"/>
      <c r="C327" s="5"/>
      <c r="D327" s="5"/>
      <c r="E327" s="5"/>
      <c r="F327" s="5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</row>
    <row r="328">
      <c r="A328" s="5"/>
      <c r="B328" s="5"/>
      <c r="C328" s="5"/>
      <c r="D328" s="5"/>
      <c r="E328" s="5"/>
      <c r="F328" s="5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</row>
    <row r="329">
      <c r="A329" s="5"/>
      <c r="B329" s="5"/>
      <c r="C329" s="5"/>
      <c r="D329" s="5"/>
      <c r="E329" s="5"/>
      <c r="F329" s="5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</row>
    <row r="330">
      <c r="A330" s="5"/>
      <c r="B330" s="5"/>
      <c r="C330" s="5"/>
      <c r="D330" s="5"/>
      <c r="E330" s="5"/>
      <c r="F330" s="5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</row>
    <row r="331">
      <c r="A331" s="5"/>
      <c r="B331" s="5"/>
      <c r="C331" s="5"/>
      <c r="D331" s="5"/>
      <c r="E331" s="5"/>
      <c r="F331" s="5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</row>
    <row r="332">
      <c r="A332" s="5"/>
      <c r="B332" s="5"/>
      <c r="C332" s="5"/>
      <c r="D332" s="5"/>
      <c r="E332" s="5"/>
      <c r="F332" s="5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</row>
    <row r="333">
      <c r="A333" s="5"/>
      <c r="B333" s="5"/>
      <c r="C333" s="5"/>
      <c r="D333" s="5"/>
      <c r="E333" s="5"/>
      <c r="F333" s="5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</row>
    <row r="334">
      <c r="A334" s="5"/>
      <c r="B334" s="5"/>
      <c r="C334" s="5"/>
      <c r="D334" s="5"/>
      <c r="E334" s="5"/>
      <c r="F334" s="5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</row>
    <row r="335">
      <c r="A335" s="5"/>
      <c r="B335" s="5"/>
      <c r="C335" s="5"/>
      <c r="D335" s="5"/>
      <c r="E335" s="5"/>
      <c r="F335" s="5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</row>
    <row r="336">
      <c r="A336" s="5"/>
      <c r="B336" s="5"/>
      <c r="C336" s="5"/>
      <c r="D336" s="5"/>
      <c r="E336" s="5"/>
      <c r="F336" s="5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</row>
    <row r="337">
      <c r="A337" s="5"/>
      <c r="B337" s="5"/>
      <c r="C337" s="5"/>
      <c r="D337" s="5"/>
      <c r="E337" s="5"/>
      <c r="F337" s="5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</row>
    <row r="338">
      <c r="A338" s="5"/>
      <c r="B338" s="5"/>
      <c r="C338" s="5"/>
      <c r="D338" s="5"/>
      <c r="E338" s="5"/>
      <c r="F338" s="5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</row>
    <row r="339">
      <c r="A339" s="5"/>
      <c r="B339" s="5"/>
      <c r="C339" s="5"/>
      <c r="D339" s="5"/>
      <c r="E339" s="5"/>
      <c r="F339" s="5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</row>
    <row r="340">
      <c r="A340" s="5"/>
      <c r="B340" s="5"/>
      <c r="C340" s="5"/>
      <c r="D340" s="5"/>
      <c r="E340" s="5"/>
      <c r="F340" s="5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</row>
    <row r="341">
      <c r="A341" s="5"/>
      <c r="B341" s="5"/>
      <c r="C341" s="5"/>
      <c r="D341" s="5"/>
      <c r="E341" s="5"/>
      <c r="F341" s="5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</row>
    <row r="342">
      <c r="A342" s="5"/>
      <c r="B342" s="5"/>
      <c r="C342" s="5"/>
      <c r="D342" s="5"/>
      <c r="E342" s="5"/>
      <c r="F342" s="5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</row>
    <row r="343">
      <c r="A343" s="5"/>
      <c r="B343" s="5"/>
      <c r="C343" s="5"/>
      <c r="D343" s="5"/>
      <c r="E343" s="5"/>
      <c r="F343" s="5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</row>
    <row r="344">
      <c r="A344" s="5"/>
      <c r="B344" s="5"/>
      <c r="C344" s="5"/>
      <c r="D344" s="5"/>
      <c r="E344" s="5"/>
      <c r="F344" s="5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</row>
    <row r="345">
      <c r="A345" s="5"/>
      <c r="B345" s="5"/>
      <c r="C345" s="5"/>
      <c r="D345" s="5"/>
      <c r="E345" s="5"/>
      <c r="F345" s="5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</row>
    <row r="346">
      <c r="A346" s="5"/>
      <c r="B346" s="5"/>
      <c r="C346" s="5"/>
      <c r="D346" s="5"/>
      <c r="E346" s="5"/>
      <c r="F346" s="5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</row>
    <row r="347">
      <c r="A347" s="5"/>
      <c r="B347" s="5"/>
      <c r="C347" s="5"/>
      <c r="D347" s="5"/>
      <c r="E347" s="5"/>
      <c r="F347" s="5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</row>
    <row r="348">
      <c r="A348" s="5"/>
      <c r="B348" s="5"/>
      <c r="C348" s="5"/>
      <c r="D348" s="5"/>
      <c r="E348" s="5"/>
      <c r="F348" s="5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</row>
    <row r="349">
      <c r="A349" s="5"/>
      <c r="B349" s="5"/>
      <c r="C349" s="5"/>
      <c r="D349" s="5"/>
      <c r="E349" s="5"/>
      <c r="F349" s="5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</row>
    <row r="350">
      <c r="A350" s="5"/>
      <c r="B350" s="5"/>
      <c r="C350" s="5"/>
      <c r="D350" s="5"/>
      <c r="E350" s="5"/>
      <c r="F350" s="5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</row>
    <row r="351">
      <c r="A351" s="5"/>
      <c r="B351" s="5"/>
      <c r="C351" s="5"/>
      <c r="D351" s="5"/>
      <c r="E351" s="5"/>
      <c r="F351" s="5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</row>
    <row r="352">
      <c r="A352" s="5"/>
      <c r="B352" s="5"/>
      <c r="C352" s="5"/>
      <c r="D352" s="5"/>
      <c r="E352" s="5"/>
      <c r="F352" s="5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</row>
    <row r="353">
      <c r="A353" s="5"/>
      <c r="B353" s="5"/>
      <c r="C353" s="5"/>
      <c r="D353" s="5"/>
      <c r="E353" s="5"/>
      <c r="F353" s="5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</row>
    <row r="354">
      <c r="A354" s="5"/>
      <c r="B354" s="5"/>
      <c r="C354" s="5"/>
      <c r="D354" s="5"/>
      <c r="E354" s="5"/>
      <c r="F354" s="5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</row>
    <row r="355">
      <c r="A355" s="5"/>
      <c r="B355" s="5"/>
      <c r="C355" s="5"/>
      <c r="D355" s="5"/>
      <c r="E355" s="5"/>
      <c r="F355" s="5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</row>
    <row r="356">
      <c r="A356" s="5"/>
      <c r="B356" s="5"/>
      <c r="C356" s="5"/>
      <c r="D356" s="5"/>
      <c r="E356" s="5"/>
      <c r="F356" s="5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</row>
    <row r="357">
      <c r="A357" s="5"/>
      <c r="B357" s="5"/>
      <c r="C357" s="5"/>
      <c r="D357" s="5"/>
      <c r="E357" s="5"/>
      <c r="F357" s="5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</row>
    <row r="358">
      <c r="A358" s="5"/>
      <c r="B358" s="5"/>
      <c r="C358" s="5"/>
      <c r="D358" s="5"/>
      <c r="E358" s="5"/>
      <c r="F358" s="5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</row>
    <row r="359">
      <c r="A359" s="5"/>
      <c r="B359" s="5"/>
      <c r="C359" s="5"/>
      <c r="D359" s="5"/>
      <c r="E359" s="5"/>
      <c r="F359" s="5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</row>
    <row r="360">
      <c r="A360" s="5"/>
      <c r="B360" s="5"/>
      <c r="C360" s="5"/>
      <c r="D360" s="5"/>
      <c r="E360" s="5"/>
      <c r="F360" s="5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</row>
    <row r="361">
      <c r="A361" s="5"/>
      <c r="B361" s="5"/>
      <c r="C361" s="5"/>
      <c r="D361" s="5"/>
      <c r="E361" s="5"/>
      <c r="F361" s="5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</row>
    <row r="362">
      <c r="A362" s="5"/>
      <c r="B362" s="5"/>
      <c r="C362" s="5"/>
      <c r="D362" s="5"/>
      <c r="E362" s="5"/>
      <c r="F362" s="5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</row>
    <row r="363">
      <c r="A363" s="5"/>
      <c r="B363" s="5"/>
      <c r="C363" s="5"/>
      <c r="D363" s="5"/>
      <c r="E363" s="5"/>
      <c r="F363" s="5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</row>
    <row r="364">
      <c r="A364" s="5"/>
      <c r="B364" s="5"/>
      <c r="C364" s="5"/>
      <c r="D364" s="5"/>
      <c r="E364" s="5"/>
      <c r="F364" s="5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</row>
    <row r="365">
      <c r="A365" s="5"/>
      <c r="B365" s="5"/>
      <c r="C365" s="5"/>
      <c r="D365" s="5"/>
      <c r="E365" s="5"/>
      <c r="F365" s="5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</row>
    <row r="366">
      <c r="A366" s="5"/>
      <c r="B366" s="5"/>
      <c r="C366" s="5"/>
      <c r="D366" s="5"/>
      <c r="E366" s="5"/>
      <c r="F366" s="5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</row>
    <row r="367">
      <c r="A367" s="5"/>
      <c r="B367" s="5"/>
      <c r="C367" s="5"/>
      <c r="D367" s="5"/>
      <c r="E367" s="5"/>
      <c r="F367" s="5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</row>
    <row r="368">
      <c r="A368" s="5"/>
      <c r="B368" s="5"/>
      <c r="C368" s="5"/>
      <c r="D368" s="5"/>
      <c r="E368" s="5"/>
      <c r="F368" s="5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</row>
    <row r="369">
      <c r="A369" s="5"/>
      <c r="B369" s="5"/>
      <c r="C369" s="5"/>
      <c r="D369" s="5"/>
      <c r="E369" s="5"/>
      <c r="F369" s="5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</row>
    <row r="370">
      <c r="A370" s="5"/>
      <c r="B370" s="5"/>
      <c r="C370" s="5"/>
      <c r="D370" s="5"/>
      <c r="E370" s="5"/>
      <c r="F370" s="5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</row>
    <row r="371">
      <c r="A371" s="5"/>
      <c r="B371" s="5"/>
      <c r="C371" s="5"/>
      <c r="D371" s="5"/>
      <c r="E371" s="5"/>
      <c r="F371" s="5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</row>
    <row r="372">
      <c r="A372" s="5"/>
      <c r="B372" s="5"/>
      <c r="C372" s="5"/>
      <c r="D372" s="5"/>
      <c r="E372" s="5"/>
      <c r="F372" s="5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</row>
    <row r="373">
      <c r="A373" s="5"/>
      <c r="B373" s="5"/>
      <c r="C373" s="5"/>
      <c r="D373" s="5"/>
      <c r="E373" s="5"/>
      <c r="F373" s="5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</row>
    <row r="374">
      <c r="A374" s="5"/>
      <c r="B374" s="5"/>
      <c r="C374" s="5"/>
      <c r="D374" s="5"/>
      <c r="E374" s="5"/>
      <c r="F374" s="5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</row>
    <row r="375">
      <c r="A375" s="5"/>
      <c r="B375" s="5"/>
      <c r="C375" s="5"/>
      <c r="D375" s="5"/>
      <c r="E375" s="5"/>
      <c r="F375" s="5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</row>
    <row r="376">
      <c r="A376" s="5"/>
      <c r="B376" s="5"/>
      <c r="C376" s="5"/>
      <c r="D376" s="5"/>
      <c r="E376" s="5"/>
      <c r="F376" s="5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</row>
    <row r="377">
      <c r="A377" s="5"/>
      <c r="B377" s="5"/>
      <c r="C377" s="5"/>
      <c r="D377" s="5"/>
      <c r="E377" s="5"/>
      <c r="F377" s="5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</row>
    <row r="378">
      <c r="A378" s="5"/>
      <c r="B378" s="5"/>
      <c r="C378" s="5"/>
      <c r="D378" s="5"/>
      <c r="E378" s="5"/>
      <c r="F378" s="5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</row>
    <row r="379">
      <c r="A379" s="5"/>
      <c r="B379" s="5"/>
      <c r="C379" s="5"/>
      <c r="D379" s="5"/>
      <c r="E379" s="5"/>
      <c r="F379" s="5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</row>
    <row r="380">
      <c r="A380" s="5"/>
      <c r="B380" s="5"/>
      <c r="C380" s="5"/>
      <c r="D380" s="5"/>
      <c r="E380" s="5"/>
      <c r="F380" s="5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</row>
    <row r="381">
      <c r="A381" s="5"/>
      <c r="B381" s="5"/>
      <c r="C381" s="5"/>
      <c r="D381" s="5"/>
      <c r="E381" s="5"/>
      <c r="F381" s="5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</row>
    <row r="382">
      <c r="A382" s="5"/>
      <c r="B382" s="5"/>
      <c r="C382" s="5"/>
      <c r="D382" s="5"/>
      <c r="E382" s="5"/>
      <c r="F382" s="5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</row>
    <row r="383">
      <c r="A383" s="5"/>
      <c r="B383" s="5"/>
      <c r="C383" s="5"/>
      <c r="D383" s="5"/>
      <c r="E383" s="5"/>
      <c r="F383" s="5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</row>
    <row r="384">
      <c r="A384" s="5"/>
      <c r="B384" s="5"/>
      <c r="C384" s="5"/>
      <c r="D384" s="5"/>
      <c r="E384" s="5"/>
      <c r="F384" s="5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</row>
    <row r="385">
      <c r="A385" s="5"/>
      <c r="B385" s="5"/>
      <c r="C385" s="5"/>
      <c r="D385" s="5"/>
      <c r="E385" s="5"/>
      <c r="F385" s="5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</row>
    <row r="386">
      <c r="A386" s="5"/>
      <c r="B386" s="5"/>
      <c r="C386" s="5"/>
      <c r="D386" s="5"/>
      <c r="E386" s="5"/>
      <c r="F386" s="5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</row>
    <row r="387">
      <c r="A387" s="5"/>
      <c r="B387" s="5"/>
      <c r="C387" s="5"/>
      <c r="D387" s="5"/>
      <c r="E387" s="5"/>
      <c r="F387" s="5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</row>
    <row r="388">
      <c r="A388" s="5"/>
      <c r="B388" s="5"/>
      <c r="C388" s="5"/>
      <c r="D388" s="5"/>
      <c r="E388" s="5"/>
      <c r="F388" s="5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</row>
    <row r="389">
      <c r="A389" s="5"/>
      <c r="B389" s="5"/>
      <c r="C389" s="5"/>
      <c r="D389" s="5"/>
      <c r="E389" s="5"/>
      <c r="F389" s="5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</row>
    <row r="390">
      <c r="A390" s="5"/>
      <c r="B390" s="5"/>
      <c r="C390" s="5"/>
      <c r="D390" s="5"/>
      <c r="E390" s="5"/>
      <c r="F390" s="5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</row>
    <row r="391">
      <c r="A391" s="5"/>
      <c r="B391" s="5"/>
      <c r="C391" s="5"/>
      <c r="D391" s="5"/>
      <c r="E391" s="5"/>
      <c r="F391" s="5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</row>
    <row r="392">
      <c r="A392" s="5"/>
      <c r="B392" s="5"/>
      <c r="C392" s="5"/>
      <c r="D392" s="5"/>
      <c r="E392" s="5"/>
      <c r="F392" s="5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</row>
    <row r="393">
      <c r="A393" s="5"/>
      <c r="B393" s="5"/>
      <c r="C393" s="5"/>
      <c r="D393" s="5"/>
      <c r="E393" s="5"/>
      <c r="F393" s="5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</row>
    <row r="394">
      <c r="A394" s="5"/>
      <c r="B394" s="5"/>
      <c r="C394" s="5"/>
      <c r="D394" s="5"/>
      <c r="E394" s="5"/>
      <c r="F394" s="5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</row>
    <row r="395">
      <c r="A395" s="5"/>
      <c r="B395" s="5"/>
      <c r="C395" s="5"/>
      <c r="D395" s="5"/>
      <c r="E395" s="5"/>
      <c r="F395" s="5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</row>
    <row r="396">
      <c r="A396" s="5"/>
      <c r="B396" s="5"/>
      <c r="C396" s="5"/>
      <c r="D396" s="5"/>
      <c r="E396" s="5"/>
      <c r="F396" s="5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</row>
    <row r="397">
      <c r="A397" s="5"/>
      <c r="B397" s="5"/>
      <c r="C397" s="5"/>
      <c r="D397" s="5"/>
      <c r="E397" s="5"/>
      <c r="F397" s="5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</row>
    <row r="398">
      <c r="A398" s="5"/>
      <c r="B398" s="5"/>
      <c r="C398" s="5"/>
      <c r="D398" s="5"/>
      <c r="E398" s="5"/>
      <c r="F398" s="5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</row>
    <row r="399">
      <c r="A399" s="5"/>
      <c r="B399" s="5"/>
      <c r="C399" s="5"/>
      <c r="D399" s="5"/>
      <c r="E399" s="5"/>
      <c r="F399" s="5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</row>
    <row r="400">
      <c r="A400" s="5"/>
      <c r="B400" s="5"/>
      <c r="C400" s="5"/>
      <c r="D400" s="5"/>
      <c r="E400" s="5"/>
      <c r="F400" s="5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</row>
    <row r="401">
      <c r="A401" s="5"/>
      <c r="B401" s="5"/>
      <c r="C401" s="5"/>
      <c r="D401" s="5"/>
      <c r="E401" s="5"/>
      <c r="F401" s="5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</row>
    <row r="402">
      <c r="A402" s="5"/>
      <c r="B402" s="5"/>
      <c r="C402" s="5"/>
      <c r="D402" s="5"/>
      <c r="E402" s="5"/>
      <c r="F402" s="5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</row>
    <row r="403">
      <c r="A403" s="5"/>
      <c r="B403" s="5"/>
      <c r="C403" s="5"/>
      <c r="D403" s="5"/>
      <c r="E403" s="5"/>
      <c r="F403" s="5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</row>
    <row r="404">
      <c r="A404" s="5"/>
      <c r="B404" s="5"/>
      <c r="C404" s="5"/>
      <c r="D404" s="5"/>
      <c r="E404" s="5"/>
      <c r="F404" s="5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</row>
    <row r="405">
      <c r="A405" s="5"/>
      <c r="B405" s="5"/>
      <c r="C405" s="5"/>
      <c r="D405" s="5"/>
      <c r="E405" s="5"/>
      <c r="F405" s="5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</row>
    <row r="406">
      <c r="A406" s="5"/>
      <c r="B406" s="5"/>
      <c r="C406" s="5"/>
      <c r="D406" s="5"/>
      <c r="E406" s="5"/>
      <c r="F406" s="5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</row>
    <row r="407">
      <c r="A407" s="5"/>
      <c r="B407" s="5"/>
      <c r="C407" s="5"/>
      <c r="D407" s="5"/>
      <c r="E407" s="5"/>
      <c r="F407" s="5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</row>
    <row r="408">
      <c r="A408" s="5"/>
      <c r="B408" s="5"/>
      <c r="C408" s="5"/>
      <c r="D408" s="5"/>
      <c r="E408" s="5"/>
      <c r="F408" s="5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</row>
    <row r="409">
      <c r="A409" s="5"/>
      <c r="B409" s="5"/>
      <c r="C409" s="5"/>
      <c r="D409" s="5"/>
      <c r="E409" s="5"/>
      <c r="F409" s="5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</row>
    <row r="410">
      <c r="A410" s="5"/>
      <c r="B410" s="5"/>
      <c r="C410" s="5"/>
      <c r="D410" s="5"/>
      <c r="E410" s="5"/>
      <c r="F410" s="5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</row>
    <row r="411">
      <c r="A411" s="5"/>
      <c r="B411" s="5"/>
      <c r="C411" s="5"/>
      <c r="D411" s="5"/>
      <c r="E411" s="5"/>
      <c r="F411" s="5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</row>
    <row r="412">
      <c r="A412" s="5"/>
      <c r="B412" s="5"/>
      <c r="C412" s="5"/>
      <c r="D412" s="5"/>
      <c r="E412" s="5"/>
      <c r="F412" s="5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</row>
    <row r="413">
      <c r="A413" s="5"/>
      <c r="B413" s="5"/>
      <c r="C413" s="5"/>
      <c r="D413" s="5"/>
      <c r="E413" s="5"/>
      <c r="F413" s="5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</row>
    <row r="414">
      <c r="A414" s="5"/>
      <c r="B414" s="5"/>
      <c r="C414" s="5"/>
      <c r="D414" s="5"/>
      <c r="E414" s="5"/>
      <c r="F414" s="5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</row>
    <row r="415">
      <c r="A415" s="5"/>
      <c r="B415" s="5"/>
      <c r="C415" s="5"/>
      <c r="D415" s="5"/>
      <c r="E415" s="5"/>
      <c r="F415" s="5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</row>
    <row r="416">
      <c r="A416" s="5"/>
      <c r="B416" s="5"/>
      <c r="C416" s="5"/>
      <c r="D416" s="5"/>
      <c r="E416" s="5"/>
      <c r="F416" s="5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</row>
    <row r="417">
      <c r="A417" s="5"/>
      <c r="B417" s="5"/>
      <c r="C417" s="5"/>
      <c r="D417" s="5"/>
      <c r="E417" s="5"/>
      <c r="F417" s="5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</row>
    <row r="418">
      <c r="A418" s="5"/>
      <c r="B418" s="5"/>
      <c r="C418" s="5"/>
      <c r="D418" s="5"/>
      <c r="E418" s="5"/>
      <c r="F418" s="5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</row>
    <row r="419">
      <c r="A419" s="5"/>
      <c r="B419" s="5"/>
      <c r="C419" s="5"/>
      <c r="D419" s="5"/>
      <c r="E419" s="5"/>
      <c r="F419" s="5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</row>
    <row r="420">
      <c r="A420" s="5"/>
      <c r="B420" s="5"/>
      <c r="C420" s="5"/>
      <c r="D420" s="5"/>
      <c r="E420" s="5"/>
      <c r="F420" s="5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</row>
    <row r="421">
      <c r="A421" s="5"/>
      <c r="B421" s="5"/>
      <c r="C421" s="5"/>
      <c r="D421" s="5"/>
      <c r="E421" s="5"/>
      <c r="F421" s="5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</row>
    <row r="422">
      <c r="A422" s="5"/>
      <c r="B422" s="5"/>
      <c r="C422" s="5"/>
      <c r="D422" s="5"/>
      <c r="E422" s="5"/>
      <c r="F422" s="5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</row>
    <row r="423">
      <c r="A423" s="5"/>
      <c r="B423" s="5"/>
      <c r="C423" s="5"/>
      <c r="D423" s="5"/>
      <c r="E423" s="5"/>
      <c r="F423" s="5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</row>
    <row r="424">
      <c r="A424" s="5"/>
      <c r="B424" s="5"/>
      <c r="C424" s="5"/>
      <c r="D424" s="5"/>
      <c r="E424" s="5"/>
      <c r="F424" s="5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</row>
    <row r="425">
      <c r="A425" s="5"/>
      <c r="B425" s="5"/>
      <c r="C425" s="5"/>
      <c r="D425" s="5"/>
      <c r="E425" s="5"/>
      <c r="F425" s="5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</row>
    <row r="426">
      <c r="A426" s="5"/>
      <c r="B426" s="5"/>
      <c r="C426" s="5"/>
      <c r="D426" s="5"/>
      <c r="E426" s="5"/>
      <c r="F426" s="5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</row>
    <row r="427">
      <c r="A427" s="5"/>
      <c r="B427" s="5"/>
      <c r="C427" s="5"/>
      <c r="D427" s="5"/>
      <c r="E427" s="5"/>
      <c r="F427" s="5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</row>
    <row r="428">
      <c r="A428" s="5"/>
      <c r="B428" s="5"/>
      <c r="C428" s="5"/>
      <c r="D428" s="5"/>
      <c r="E428" s="5"/>
      <c r="F428" s="5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</row>
    <row r="429">
      <c r="A429" s="5"/>
      <c r="B429" s="5"/>
      <c r="C429" s="5"/>
      <c r="D429" s="5"/>
      <c r="E429" s="5"/>
      <c r="F429" s="5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</row>
    <row r="430">
      <c r="A430" s="5"/>
      <c r="B430" s="5"/>
      <c r="C430" s="5"/>
      <c r="D430" s="5"/>
      <c r="E430" s="5"/>
      <c r="F430" s="5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</row>
    <row r="431">
      <c r="A431" s="5"/>
      <c r="B431" s="5"/>
      <c r="C431" s="5"/>
      <c r="D431" s="5"/>
      <c r="E431" s="5"/>
      <c r="F431" s="5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</row>
    <row r="432">
      <c r="A432" s="5"/>
      <c r="B432" s="5"/>
      <c r="C432" s="5"/>
      <c r="D432" s="5"/>
      <c r="E432" s="5"/>
      <c r="F432" s="5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</row>
    <row r="433">
      <c r="A433" s="5"/>
      <c r="B433" s="5"/>
      <c r="C433" s="5"/>
      <c r="D433" s="5"/>
      <c r="E433" s="5"/>
      <c r="F433" s="5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</row>
    <row r="434">
      <c r="A434" s="5"/>
      <c r="B434" s="5"/>
      <c r="C434" s="5"/>
      <c r="D434" s="5"/>
      <c r="E434" s="5"/>
      <c r="F434" s="5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</row>
    <row r="435">
      <c r="A435" s="5"/>
      <c r="B435" s="5"/>
      <c r="C435" s="5"/>
      <c r="D435" s="5"/>
      <c r="E435" s="5"/>
      <c r="F435" s="5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</row>
    <row r="436">
      <c r="A436" s="5"/>
      <c r="B436" s="5"/>
      <c r="C436" s="5"/>
      <c r="D436" s="5"/>
      <c r="E436" s="5"/>
      <c r="F436" s="5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</row>
    <row r="437">
      <c r="A437" s="5"/>
      <c r="B437" s="5"/>
      <c r="C437" s="5"/>
      <c r="D437" s="5"/>
      <c r="E437" s="5"/>
      <c r="F437" s="5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</row>
    <row r="438">
      <c r="A438" s="5"/>
      <c r="B438" s="5"/>
      <c r="C438" s="5"/>
      <c r="D438" s="5"/>
      <c r="E438" s="5"/>
      <c r="F438" s="5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</row>
    <row r="439">
      <c r="A439" s="5"/>
      <c r="B439" s="5"/>
      <c r="C439" s="5"/>
      <c r="D439" s="5"/>
      <c r="E439" s="5"/>
      <c r="F439" s="5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</row>
    <row r="440">
      <c r="A440" s="5"/>
      <c r="B440" s="5"/>
      <c r="C440" s="5"/>
      <c r="D440" s="5"/>
      <c r="E440" s="5"/>
      <c r="F440" s="5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</row>
    <row r="441">
      <c r="A441" s="5"/>
      <c r="B441" s="5"/>
      <c r="C441" s="5"/>
      <c r="D441" s="5"/>
      <c r="E441" s="5"/>
      <c r="F441" s="5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</row>
    <row r="442">
      <c r="A442" s="5"/>
      <c r="B442" s="5"/>
      <c r="C442" s="5"/>
      <c r="D442" s="5"/>
      <c r="E442" s="5"/>
      <c r="F442" s="5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</row>
    <row r="443">
      <c r="A443" s="5"/>
      <c r="B443" s="5"/>
      <c r="C443" s="5"/>
      <c r="D443" s="5"/>
      <c r="E443" s="5"/>
      <c r="F443" s="5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</row>
    <row r="444">
      <c r="A444" s="5"/>
      <c r="B444" s="5"/>
      <c r="C444" s="5"/>
      <c r="D444" s="5"/>
      <c r="E444" s="5"/>
      <c r="F444" s="5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</row>
    <row r="445">
      <c r="A445" s="5"/>
      <c r="B445" s="5"/>
      <c r="C445" s="5"/>
      <c r="D445" s="5"/>
      <c r="E445" s="5"/>
      <c r="F445" s="5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</row>
    <row r="446">
      <c r="A446" s="5"/>
      <c r="B446" s="5"/>
      <c r="C446" s="5"/>
      <c r="D446" s="5"/>
      <c r="E446" s="5"/>
      <c r="F446" s="5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</row>
    <row r="447">
      <c r="A447" s="5"/>
      <c r="B447" s="5"/>
      <c r="C447" s="5"/>
      <c r="D447" s="5"/>
      <c r="E447" s="5"/>
      <c r="F447" s="5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</row>
    <row r="448">
      <c r="A448" s="5"/>
      <c r="B448" s="5"/>
      <c r="C448" s="5"/>
      <c r="D448" s="5"/>
      <c r="E448" s="5"/>
      <c r="F448" s="5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</row>
    <row r="449">
      <c r="A449" s="5"/>
      <c r="B449" s="5"/>
      <c r="C449" s="5"/>
      <c r="D449" s="5"/>
      <c r="E449" s="5"/>
      <c r="F449" s="5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</row>
    <row r="450">
      <c r="A450" s="5"/>
      <c r="B450" s="5"/>
      <c r="C450" s="5"/>
      <c r="D450" s="5"/>
      <c r="E450" s="5"/>
      <c r="F450" s="5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</row>
    <row r="451">
      <c r="A451" s="5"/>
      <c r="B451" s="5"/>
      <c r="C451" s="5"/>
      <c r="D451" s="5"/>
      <c r="E451" s="5"/>
      <c r="F451" s="5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</row>
    <row r="452">
      <c r="A452" s="5"/>
      <c r="B452" s="5"/>
      <c r="C452" s="5"/>
      <c r="D452" s="5"/>
      <c r="E452" s="5"/>
      <c r="F452" s="5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</row>
    <row r="453">
      <c r="A453" s="5"/>
      <c r="B453" s="5"/>
      <c r="C453" s="5"/>
      <c r="D453" s="5"/>
      <c r="E453" s="5"/>
      <c r="F453" s="5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</row>
    <row r="454">
      <c r="A454" s="5"/>
      <c r="B454" s="5"/>
      <c r="C454" s="5"/>
      <c r="D454" s="5"/>
      <c r="E454" s="5"/>
      <c r="F454" s="5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</row>
    <row r="455">
      <c r="A455" s="5"/>
      <c r="B455" s="5"/>
      <c r="C455" s="5"/>
      <c r="D455" s="5"/>
      <c r="E455" s="5"/>
      <c r="F455" s="5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</row>
    <row r="456">
      <c r="A456" s="5"/>
      <c r="B456" s="5"/>
      <c r="C456" s="5"/>
      <c r="D456" s="5"/>
      <c r="E456" s="5"/>
      <c r="F456" s="5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</row>
    <row r="457">
      <c r="A457" s="5"/>
      <c r="B457" s="5"/>
      <c r="C457" s="5"/>
      <c r="D457" s="5"/>
      <c r="E457" s="5"/>
      <c r="F457" s="5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</row>
    <row r="458">
      <c r="A458" s="5"/>
      <c r="B458" s="5"/>
      <c r="C458" s="5"/>
      <c r="D458" s="5"/>
      <c r="E458" s="5"/>
      <c r="F458" s="5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</row>
    <row r="459">
      <c r="A459" s="5"/>
      <c r="B459" s="5"/>
      <c r="C459" s="5"/>
      <c r="D459" s="5"/>
      <c r="E459" s="5"/>
      <c r="F459" s="5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</row>
    <row r="460">
      <c r="A460" s="5"/>
      <c r="B460" s="5"/>
      <c r="C460" s="5"/>
      <c r="D460" s="5"/>
      <c r="E460" s="5"/>
      <c r="F460" s="5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</row>
    <row r="461">
      <c r="A461" s="5"/>
      <c r="B461" s="5"/>
      <c r="C461" s="5"/>
      <c r="D461" s="5"/>
      <c r="E461" s="5"/>
      <c r="F461" s="5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</row>
    <row r="462">
      <c r="A462" s="5"/>
      <c r="B462" s="5"/>
      <c r="C462" s="5"/>
      <c r="D462" s="5"/>
      <c r="E462" s="5"/>
      <c r="F462" s="5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</row>
    <row r="463">
      <c r="A463" s="5"/>
      <c r="B463" s="5"/>
      <c r="C463" s="5"/>
      <c r="D463" s="5"/>
      <c r="E463" s="5"/>
      <c r="F463" s="5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</row>
    <row r="464">
      <c r="A464" s="5"/>
      <c r="B464" s="5"/>
      <c r="C464" s="5"/>
      <c r="D464" s="5"/>
      <c r="E464" s="5"/>
      <c r="F464" s="5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</row>
    <row r="465">
      <c r="A465" s="5"/>
      <c r="B465" s="5"/>
      <c r="C465" s="5"/>
      <c r="D465" s="5"/>
      <c r="E465" s="5"/>
      <c r="F465" s="5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</row>
    <row r="466">
      <c r="A466" s="5"/>
      <c r="B466" s="5"/>
      <c r="C466" s="5"/>
      <c r="D466" s="5"/>
      <c r="E466" s="5"/>
      <c r="F466" s="5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</row>
    <row r="467">
      <c r="A467" s="5"/>
      <c r="B467" s="5"/>
      <c r="C467" s="5"/>
      <c r="D467" s="5"/>
      <c r="E467" s="5"/>
      <c r="F467" s="5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</row>
    <row r="468">
      <c r="A468" s="5"/>
      <c r="B468" s="5"/>
      <c r="C468" s="5"/>
      <c r="D468" s="5"/>
      <c r="E468" s="5"/>
      <c r="F468" s="5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</row>
    <row r="469">
      <c r="A469" s="5"/>
      <c r="B469" s="5"/>
      <c r="C469" s="5"/>
      <c r="D469" s="5"/>
      <c r="E469" s="5"/>
      <c r="F469" s="5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</row>
    <row r="470">
      <c r="A470" s="5"/>
      <c r="B470" s="5"/>
      <c r="C470" s="5"/>
      <c r="D470" s="5"/>
      <c r="E470" s="5"/>
      <c r="F470" s="5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</row>
    <row r="471">
      <c r="A471" s="5"/>
      <c r="B471" s="5"/>
      <c r="C471" s="5"/>
      <c r="D471" s="5"/>
      <c r="E471" s="5"/>
      <c r="F471" s="5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</row>
    <row r="472">
      <c r="A472" s="5"/>
      <c r="B472" s="5"/>
      <c r="C472" s="5"/>
      <c r="D472" s="5"/>
      <c r="E472" s="5"/>
      <c r="F472" s="5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</row>
    <row r="473">
      <c r="A473" s="5"/>
      <c r="B473" s="5"/>
      <c r="C473" s="5"/>
      <c r="D473" s="5"/>
      <c r="E473" s="5"/>
      <c r="F473" s="5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</row>
    <row r="474">
      <c r="A474" s="5"/>
      <c r="B474" s="5"/>
      <c r="C474" s="5"/>
      <c r="D474" s="5"/>
      <c r="E474" s="5"/>
      <c r="F474" s="5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</row>
    <row r="475">
      <c r="A475" s="5"/>
      <c r="B475" s="5"/>
      <c r="C475" s="5"/>
      <c r="D475" s="5"/>
      <c r="E475" s="5"/>
      <c r="F475" s="5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</row>
    <row r="476">
      <c r="A476" s="5"/>
      <c r="B476" s="5"/>
      <c r="C476" s="5"/>
      <c r="D476" s="5"/>
      <c r="E476" s="5"/>
      <c r="F476" s="5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</row>
    <row r="477">
      <c r="A477" s="5"/>
      <c r="B477" s="5"/>
      <c r="C477" s="5"/>
      <c r="D477" s="5"/>
      <c r="E477" s="5"/>
      <c r="F477" s="5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</row>
    <row r="478">
      <c r="A478" s="5"/>
      <c r="B478" s="5"/>
      <c r="C478" s="5"/>
      <c r="D478" s="5"/>
      <c r="E478" s="5"/>
      <c r="F478" s="5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</row>
    <row r="479">
      <c r="A479" s="5"/>
      <c r="B479" s="5"/>
      <c r="C479" s="5"/>
      <c r="D479" s="5"/>
      <c r="E479" s="5"/>
      <c r="F479" s="5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</row>
    <row r="480">
      <c r="A480" s="5"/>
      <c r="B480" s="5"/>
      <c r="C480" s="5"/>
      <c r="D480" s="5"/>
      <c r="E480" s="5"/>
      <c r="F480" s="5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</row>
    <row r="481">
      <c r="A481" s="5"/>
      <c r="B481" s="5"/>
      <c r="C481" s="5"/>
      <c r="D481" s="5"/>
      <c r="E481" s="5"/>
      <c r="F481" s="5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</row>
    <row r="482">
      <c r="A482" s="5"/>
      <c r="B482" s="5"/>
      <c r="C482" s="5"/>
      <c r="D482" s="5"/>
      <c r="E482" s="5"/>
      <c r="F482" s="5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</row>
    <row r="483">
      <c r="A483" s="5"/>
      <c r="B483" s="5"/>
      <c r="C483" s="5"/>
      <c r="D483" s="5"/>
      <c r="E483" s="5"/>
      <c r="F483" s="5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</row>
    <row r="484">
      <c r="A484" s="5"/>
      <c r="B484" s="5"/>
      <c r="C484" s="5"/>
      <c r="D484" s="5"/>
      <c r="E484" s="5"/>
      <c r="F484" s="5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</row>
    <row r="485">
      <c r="A485" s="5"/>
      <c r="B485" s="5"/>
      <c r="C485" s="5"/>
      <c r="D485" s="5"/>
      <c r="E485" s="5"/>
      <c r="F485" s="5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</row>
    <row r="486">
      <c r="A486" s="5"/>
      <c r="B486" s="5"/>
      <c r="C486" s="5"/>
      <c r="D486" s="5"/>
      <c r="E486" s="5"/>
      <c r="F486" s="5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</row>
    <row r="487">
      <c r="A487" s="5"/>
      <c r="B487" s="5"/>
      <c r="C487" s="5"/>
      <c r="D487" s="5"/>
      <c r="E487" s="5"/>
      <c r="F487" s="5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</row>
    <row r="488">
      <c r="A488" s="5"/>
      <c r="B488" s="5"/>
      <c r="C488" s="5"/>
      <c r="D488" s="5"/>
      <c r="E488" s="5"/>
      <c r="F488" s="5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</row>
    <row r="489">
      <c r="A489" s="5"/>
      <c r="B489" s="5"/>
      <c r="C489" s="5"/>
      <c r="D489" s="5"/>
      <c r="E489" s="5"/>
      <c r="F489" s="5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</row>
    <row r="490">
      <c r="A490" s="5"/>
      <c r="B490" s="5"/>
      <c r="C490" s="5"/>
      <c r="D490" s="5"/>
      <c r="E490" s="5"/>
      <c r="F490" s="5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</row>
    <row r="491">
      <c r="A491" s="5"/>
      <c r="B491" s="5"/>
      <c r="C491" s="5"/>
      <c r="D491" s="5"/>
      <c r="E491" s="5"/>
      <c r="F491" s="5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</row>
    <row r="492">
      <c r="A492" s="5"/>
      <c r="B492" s="5"/>
      <c r="C492" s="5"/>
      <c r="D492" s="5"/>
      <c r="E492" s="5"/>
      <c r="F492" s="5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</row>
    <row r="493">
      <c r="A493" s="5"/>
      <c r="B493" s="5"/>
      <c r="C493" s="5"/>
      <c r="D493" s="5"/>
      <c r="E493" s="5"/>
      <c r="F493" s="5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</row>
    <row r="494">
      <c r="A494" s="5"/>
      <c r="B494" s="5"/>
      <c r="C494" s="5"/>
      <c r="D494" s="5"/>
      <c r="E494" s="5"/>
      <c r="F494" s="5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</row>
    <row r="495">
      <c r="A495" s="5"/>
      <c r="B495" s="5"/>
      <c r="C495" s="5"/>
      <c r="D495" s="5"/>
      <c r="E495" s="5"/>
      <c r="F495" s="5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</row>
    <row r="496">
      <c r="A496" s="5"/>
      <c r="B496" s="5"/>
      <c r="C496" s="5"/>
      <c r="D496" s="5"/>
      <c r="E496" s="5"/>
      <c r="F496" s="5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</row>
    <row r="497">
      <c r="A497" s="5"/>
      <c r="B497" s="5"/>
      <c r="C497" s="5"/>
      <c r="D497" s="5"/>
      <c r="E497" s="5"/>
      <c r="F497" s="5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</row>
    <row r="498">
      <c r="A498" s="5"/>
      <c r="B498" s="5"/>
      <c r="C498" s="5"/>
      <c r="D498" s="5"/>
      <c r="E498" s="5"/>
      <c r="F498" s="5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</row>
    <row r="499">
      <c r="A499" s="5"/>
      <c r="B499" s="5"/>
      <c r="C499" s="5"/>
      <c r="D499" s="5"/>
      <c r="E499" s="5"/>
      <c r="F499" s="5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</row>
    <row r="500">
      <c r="A500" s="5"/>
      <c r="B500" s="5"/>
      <c r="C500" s="5"/>
      <c r="D500" s="5"/>
      <c r="E500" s="5"/>
      <c r="F500" s="5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</row>
    <row r="501">
      <c r="A501" s="5"/>
      <c r="B501" s="5"/>
      <c r="C501" s="5"/>
      <c r="D501" s="5"/>
      <c r="E501" s="5"/>
      <c r="F501" s="5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</row>
    <row r="502">
      <c r="A502" s="5"/>
      <c r="B502" s="5"/>
      <c r="C502" s="5"/>
      <c r="D502" s="5"/>
      <c r="E502" s="5"/>
      <c r="F502" s="5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</row>
    <row r="503">
      <c r="A503" s="5"/>
      <c r="B503" s="5"/>
      <c r="C503" s="5"/>
      <c r="D503" s="5"/>
      <c r="E503" s="5"/>
      <c r="F503" s="5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</row>
    <row r="504">
      <c r="A504" s="5"/>
      <c r="B504" s="5"/>
      <c r="C504" s="5"/>
      <c r="D504" s="5"/>
      <c r="E504" s="5"/>
      <c r="F504" s="5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</row>
    <row r="505">
      <c r="A505" s="5"/>
      <c r="B505" s="5"/>
      <c r="C505" s="5"/>
      <c r="D505" s="5"/>
      <c r="E505" s="5"/>
      <c r="F505" s="5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</row>
    <row r="506">
      <c r="A506" s="5"/>
      <c r="B506" s="5"/>
      <c r="C506" s="5"/>
      <c r="D506" s="5"/>
      <c r="E506" s="5"/>
      <c r="F506" s="5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</row>
    <row r="507">
      <c r="A507" s="5"/>
      <c r="B507" s="5"/>
      <c r="C507" s="5"/>
      <c r="D507" s="5"/>
      <c r="E507" s="5"/>
      <c r="F507" s="5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</row>
    <row r="508">
      <c r="A508" s="5"/>
      <c r="B508" s="5"/>
      <c r="C508" s="5"/>
      <c r="D508" s="5"/>
      <c r="E508" s="5"/>
      <c r="F508" s="5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</row>
    <row r="509">
      <c r="A509" s="5"/>
      <c r="B509" s="5"/>
      <c r="C509" s="5"/>
      <c r="D509" s="5"/>
      <c r="E509" s="5"/>
      <c r="F509" s="5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</row>
    <row r="510">
      <c r="A510" s="5"/>
      <c r="B510" s="5"/>
      <c r="C510" s="5"/>
      <c r="D510" s="5"/>
      <c r="E510" s="5"/>
      <c r="F510" s="5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</row>
    <row r="511">
      <c r="A511" s="5"/>
      <c r="B511" s="5"/>
      <c r="C511" s="5"/>
      <c r="D511" s="5"/>
      <c r="E511" s="5"/>
      <c r="F511" s="5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</row>
    <row r="512">
      <c r="A512" s="5"/>
      <c r="B512" s="5"/>
      <c r="C512" s="5"/>
      <c r="D512" s="5"/>
      <c r="E512" s="5"/>
      <c r="F512" s="5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</row>
    <row r="513">
      <c r="A513" s="5"/>
      <c r="B513" s="5"/>
      <c r="C513" s="5"/>
      <c r="D513" s="5"/>
      <c r="E513" s="5"/>
      <c r="F513" s="5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</row>
    <row r="514">
      <c r="A514" s="5"/>
      <c r="B514" s="5"/>
      <c r="C514" s="5"/>
      <c r="D514" s="5"/>
      <c r="E514" s="5"/>
      <c r="F514" s="5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</row>
    <row r="515">
      <c r="A515" s="5"/>
      <c r="B515" s="5"/>
      <c r="C515" s="5"/>
      <c r="D515" s="5"/>
      <c r="E515" s="5"/>
      <c r="F515" s="5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</row>
    <row r="516">
      <c r="A516" s="5"/>
      <c r="B516" s="5"/>
      <c r="C516" s="5"/>
      <c r="D516" s="5"/>
      <c r="E516" s="5"/>
      <c r="F516" s="5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</row>
    <row r="517">
      <c r="A517" s="5"/>
      <c r="B517" s="5"/>
      <c r="C517" s="5"/>
      <c r="D517" s="5"/>
      <c r="E517" s="5"/>
      <c r="F517" s="5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</row>
    <row r="518">
      <c r="A518" s="5"/>
      <c r="B518" s="5"/>
      <c r="C518" s="5"/>
      <c r="D518" s="5"/>
      <c r="E518" s="5"/>
      <c r="F518" s="5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</row>
    <row r="519">
      <c r="A519" s="5"/>
      <c r="B519" s="5"/>
      <c r="C519" s="5"/>
      <c r="D519" s="5"/>
      <c r="E519" s="5"/>
      <c r="F519" s="5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</row>
    <row r="520">
      <c r="A520" s="5"/>
      <c r="B520" s="5"/>
      <c r="C520" s="5"/>
      <c r="D520" s="5"/>
      <c r="E520" s="5"/>
      <c r="F520" s="5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</row>
    <row r="521">
      <c r="A521" s="5"/>
      <c r="B521" s="5"/>
      <c r="C521" s="5"/>
      <c r="D521" s="5"/>
      <c r="E521" s="5"/>
      <c r="F521" s="5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</row>
    <row r="522">
      <c r="A522" s="5"/>
      <c r="B522" s="5"/>
      <c r="C522" s="5"/>
      <c r="D522" s="5"/>
      <c r="E522" s="5"/>
      <c r="F522" s="5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</row>
    <row r="523">
      <c r="A523" s="5"/>
      <c r="B523" s="5"/>
      <c r="C523" s="5"/>
      <c r="D523" s="5"/>
      <c r="E523" s="5"/>
      <c r="F523" s="5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</row>
    <row r="524">
      <c r="A524" s="5"/>
      <c r="B524" s="5"/>
      <c r="C524" s="5"/>
      <c r="D524" s="5"/>
      <c r="E524" s="5"/>
      <c r="F524" s="5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</row>
    <row r="525">
      <c r="A525" s="5"/>
      <c r="B525" s="5"/>
      <c r="C525" s="5"/>
      <c r="D525" s="5"/>
      <c r="E525" s="5"/>
      <c r="F525" s="5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</row>
    <row r="526">
      <c r="A526" s="5"/>
      <c r="B526" s="5"/>
      <c r="C526" s="5"/>
      <c r="D526" s="5"/>
      <c r="E526" s="5"/>
      <c r="F526" s="5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</row>
    <row r="527">
      <c r="A527" s="5"/>
      <c r="B527" s="5"/>
      <c r="C527" s="5"/>
      <c r="D527" s="5"/>
      <c r="E527" s="5"/>
      <c r="F527" s="5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</row>
    <row r="528">
      <c r="A528" s="5"/>
      <c r="B528" s="5"/>
      <c r="C528" s="5"/>
      <c r="D528" s="5"/>
      <c r="E528" s="5"/>
      <c r="F528" s="5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</row>
    <row r="529">
      <c r="A529" s="5"/>
      <c r="B529" s="5"/>
      <c r="C529" s="5"/>
      <c r="D529" s="5"/>
      <c r="E529" s="5"/>
      <c r="F529" s="5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</row>
    <row r="530">
      <c r="A530" s="5"/>
      <c r="B530" s="5"/>
      <c r="C530" s="5"/>
      <c r="D530" s="5"/>
      <c r="E530" s="5"/>
      <c r="F530" s="5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</row>
    <row r="531">
      <c r="A531" s="5"/>
      <c r="B531" s="5"/>
      <c r="C531" s="5"/>
      <c r="D531" s="5"/>
      <c r="E531" s="5"/>
      <c r="F531" s="5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</row>
    <row r="532">
      <c r="A532" s="5"/>
      <c r="B532" s="5"/>
      <c r="C532" s="5"/>
      <c r="D532" s="5"/>
      <c r="E532" s="5"/>
      <c r="F532" s="5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</row>
    <row r="533">
      <c r="A533" s="5"/>
      <c r="B533" s="5"/>
      <c r="C533" s="5"/>
      <c r="D533" s="5"/>
      <c r="E533" s="5"/>
      <c r="F533" s="5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</row>
    <row r="534">
      <c r="A534" s="5"/>
      <c r="B534" s="5"/>
      <c r="C534" s="5"/>
      <c r="D534" s="5"/>
      <c r="E534" s="5"/>
      <c r="F534" s="5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</row>
    <row r="535">
      <c r="A535" s="5"/>
      <c r="B535" s="5"/>
      <c r="C535" s="5"/>
      <c r="D535" s="5"/>
      <c r="E535" s="5"/>
      <c r="F535" s="5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</row>
    <row r="536">
      <c r="A536" s="5"/>
      <c r="B536" s="5"/>
      <c r="C536" s="5"/>
      <c r="D536" s="5"/>
      <c r="E536" s="5"/>
      <c r="F536" s="5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</row>
    <row r="537">
      <c r="A537" s="5"/>
      <c r="B537" s="5"/>
      <c r="C537" s="5"/>
      <c r="D537" s="5"/>
      <c r="E537" s="5"/>
      <c r="F537" s="5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</row>
    <row r="538">
      <c r="A538" s="5"/>
      <c r="B538" s="5"/>
      <c r="C538" s="5"/>
      <c r="D538" s="5"/>
      <c r="E538" s="5"/>
      <c r="F538" s="5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</row>
    <row r="539">
      <c r="A539" s="5"/>
      <c r="B539" s="5"/>
      <c r="C539" s="5"/>
      <c r="D539" s="5"/>
      <c r="E539" s="5"/>
      <c r="F539" s="5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</row>
    <row r="540">
      <c r="A540" s="5"/>
      <c r="B540" s="5"/>
      <c r="C540" s="5"/>
      <c r="D540" s="5"/>
      <c r="E540" s="5"/>
      <c r="F540" s="5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</row>
    <row r="541">
      <c r="A541" s="5"/>
      <c r="B541" s="5"/>
      <c r="C541" s="5"/>
      <c r="D541" s="5"/>
      <c r="E541" s="5"/>
      <c r="F541" s="5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</row>
    <row r="542">
      <c r="A542" s="5"/>
      <c r="B542" s="5"/>
      <c r="C542" s="5"/>
      <c r="D542" s="5"/>
      <c r="E542" s="5"/>
      <c r="F542" s="5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</row>
    <row r="543">
      <c r="A543" s="5"/>
      <c r="B543" s="5"/>
      <c r="C543" s="5"/>
      <c r="D543" s="5"/>
      <c r="E543" s="5"/>
      <c r="F543" s="5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</row>
    <row r="544">
      <c r="A544" s="5"/>
      <c r="B544" s="5"/>
      <c r="C544" s="5"/>
      <c r="D544" s="5"/>
      <c r="E544" s="5"/>
      <c r="F544" s="5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</row>
    <row r="545">
      <c r="A545" s="5"/>
      <c r="B545" s="5"/>
      <c r="C545" s="5"/>
      <c r="D545" s="5"/>
      <c r="E545" s="5"/>
      <c r="F545" s="5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</row>
    <row r="546">
      <c r="A546" s="5"/>
      <c r="B546" s="5"/>
      <c r="C546" s="5"/>
      <c r="D546" s="5"/>
      <c r="E546" s="5"/>
      <c r="F546" s="5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</row>
    <row r="547">
      <c r="A547" s="5"/>
      <c r="B547" s="5"/>
      <c r="C547" s="5"/>
      <c r="D547" s="5"/>
      <c r="E547" s="5"/>
      <c r="F547" s="5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</row>
    <row r="548">
      <c r="A548" s="5"/>
      <c r="B548" s="5"/>
      <c r="C548" s="5"/>
      <c r="D548" s="5"/>
      <c r="E548" s="5"/>
      <c r="F548" s="5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</row>
    <row r="549">
      <c r="A549" s="5"/>
      <c r="B549" s="5"/>
      <c r="C549" s="5"/>
      <c r="D549" s="5"/>
      <c r="E549" s="5"/>
      <c r="F549" s="5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</row>
    <row r="550">
      <c r="A550" s="5"/>
      <c r="B550" s="5"/>
      <c r="C550" s="5"/>
      <c r="D550" s="5"/>
      <c r="E550" s="5"/>
      <c r="F550" s="5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</row>
    <row r="551">
      <c r="A551" s="5"/>
      <c r="B551" s="5"/>
      <c r="C551" s="5"/>
      <c r="D551" s="5"/>
      <c r="E551" s="5"/>
      <c r="F551" s="5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</row>
    <row r="552">
      <c r="A552" s="5"/>
      <c r="B552" s="5"/>
      <c r="C552" s="5"/>
      <c r="D552" s="5"/>
      <c r="E552" s="5"/>
      <c r="F552" s="5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</row>
    <row r="553">
      <c r="A553" s="5"/>
      <c r="B553" s="5"/>
      <c r="C553" s="5"/>
      <c r="D553" s="5"/>
      <c r="E553" s="5"/>
      <c r="F553" s="5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</row>
    <row r="554">
      <c r="A554" s="5"/>
      <c r="B554" s="5"/>
      <c r="C554" s="5"/>
      <c r="D554" s="5"/>
      <c r="E554" s="5"/>
      <c r="F554" s="5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</row>
    <row r="555">
      <c r="A555" s="5"/>
      <c r="B555" s="5"/>
      <c r="C555" s="5"/>
      <c r="D555" s="5"/>
      <c r="E555" s="5"/>
      <c r="F555" s="5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</row>
    <row r="556">
      <c r="A556" s="5"/>
      <c r="B556" s="5"/>
      <c r="C556" s="5"/>
      <c r="D556" s="5"/>
      <c r="E556" s="5"/>
      <c r="F556" s="5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</row>
    <row r="557">
      <c r="A557" s="5"/>
      <c r="B557" s="5"/>
      <c r="C557" s="5"/>
      <c r="D557" s="5"/>
      <c r="E557" s="5"/>
      <c r="F557" s="5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</row>
    <row r="558">
      <c r="A558" s="5"/>
      <c r="B558" s="5"/>
      <c r="C558" s="5"/>
      <c r="D558" s="5"/>
      <c r="E558" s="5"/>
      <c r="F558" s="5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</row>
    <row r="559">
      <c r="A559" s="5"/>
      <c r="B559" s="5"/>
      <c r="C559" s="5"/>
      <c r="D559" s="5"/>
      <c r="E559" s="5"/>
      <c r="F559" s="5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</row>
    <row r="560">
      <c r="A560" s="5"/>
      <c r="B560" s="5"/>
      <c r="C560" s="5"/>
      <c r="D560" s="5"/>
      <c r="E560" s="5"/>
      <c r="F560" s="5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</row>
    <row r="561">
      <c r="A561" s="5"/>
      <c r="B561" s="5"/>
      <c r="C561" s="5"/>
      <c r="D561" s="5"/>
      <c r="E561" s="5"/>
      <c r="F561" s="5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</row>
    <row r="562">
      <c r="A562" s="5"/>
      <c r="B562" s="5"/>
      <c r="C562" s="5"/>
      <c r="D562" s="5"/>
      <c r="E562" s="5"/>
      <c r="F562" s="5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</row>
    <row r="563">
      <c r="A563" s="5"/>
      <c r="B563" s="5"/>
      <c r="C563" s="5"/>
      <c r="D563" s="5"/>
      <c r="E563" s="5"/>
      <c r="F563" s="5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</row>
    <row r="564">
      <c r="A564" s="5"/>
      <c r="B564" s="5"/>
      <c r="C564" s="5"/>
      <c r="D564" s="5"/>
      <c r="E564" s="5"/>
      <c r="F564" s="5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</row>
    <row r="565">
      <c r="A565" s="5"/>
      <c r="B565" s="5"/>
      <c r="C565" s="5"/>
      <c r="D565" s="5"/>
      <c r="E565" s="5"/>
      <c r="F565" s="5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</row>
    <row r="566">
      <c r="A566" s="5"/>
      <c r="B566" s="5"/>
      <c r="C566" s="5"/>
      <c r="D566" s="5"/>
      <c r="E566" s="5"/>
      <c r="F566" s="5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</row>
    <row r="567">
      <c r="A567" s="5"/>
      <c r="B567" s="5"/>
      <c r="C567" s="5"/>
      <c r="D567" s="5"/>
      <c r="E567" s="5"/>
      <c r="F567" s="5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</row>
    <row r="568">
      <c r="A568" s="5"/>
      <c r="B568" s="5"/>
      <c r="C568" s="5"/>
      <c r="D568" s="5"/>
      <c r="E568" s="5"/>
      <c r="F568" s="5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</row>
    <row r="569">
      <c r="A569" s="5"/>
      <c r="B569" s="5"/>
      <c r="C569" s="5"/>
      <c r="D569" s="5"/>
      <c r="E569" s="5"/>
      <c r="F569" s="5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</row>
    <row r="570">
      <c r="A570" s="5"/>
      <c r="B570" s="5"/>
      <c r="C570" s="5"/>
      <c r="D570" s="5"/>
      <c r="E570" s="5"/>
      <c r="F570" s="5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</row>
    <row r="571">
      <c r="A571" s="5"/>
      <c r="B571" s="5"/>
      <c r="C571" s="5"/>
      <c r="D571" s="5"/>
      <c r="E571" s="5"/>
      <c r="F571" s="5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</row>
    <row r="572">
      <c r="A572" s="5"/>
      <c r="B572" s="5"/>
      <c r="C572" s="5"/>
      <c r="D572" s="5"/>
      <c r="E572" s="5"/>
      <c r="F572" s="5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</row>
    <row r="573">
      <c r="A573" s="5"/>
      <c r="B573" s="5"/>
      <c r="C573" s="5"/>
      <c r="D573" s="5"/>
      <c r="E573" s="5"/>
      <c r="F573" s="5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</row>
    <row r="574">
      <c r="A574" s="5"/>
      <c r="B574" s="5"/>
      <c r="C574" s="5"/>
      <c r="D574" s="5"/>
      <c r="E574" s="5"/>
      <c r="F574" s="5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</row>
    <row r="575">
      <c r="A575" s="5"/>
      <c r="B575" s="5"/>
      <c r="C575" s="5"/>
      <c r="D575" s="5"/>
      <c r="E575" s="5"/>
      <c r="F575" s="5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</row>
    <row r="576">
      <c r="A576" s="5"/>
      <c r="B576" s="5"/>
      <c r="C576" s="5"/>
      <c r="D576" s="5"/>
      <c r="E576" s="5"/>
      <c r="F576" s="5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</row>
    <row r="577">
      <c r="A577" s="5"/>
      <c r="B577" s="5"/>
      <c r="C577" s="5"/>
      <c r="D577" s="5"/>
      <c r="E577" s="5"/>
      <c r="F577" s="5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</row>
    <row r="578">
      <c r="A578" s="5"/>
      <c r="B578" s="5"/>
      <c r="C578" s="5"/>
      <c r="D578" s="5"/>
      <c r="E578" s="5"/>
      <c r="F578" s="5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</row>
    <row r="579">
      <c r="A579" s="5"/>
      <c r="B579" s="5"/>
      <c r="C579" s="5"/>
      <c r="D579" s="5"/>
      <c r="E579" s="5"/>
      <c r="F579" s="5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</row>
    <row r="580">
      <c r="A580" s="5"/>
      <c r="B580" s="5"/>
      <c r="C580" s="5"/>
      <c r="D580" s="5"/>
      <c r="E580" s="5"/>
      <c r="F580" s="5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</row>
    <row r="581">
      <c r="A581" s="5"/>
      <c r="B581" s="5"/>
      <c r="C581" s="5"/>
      <c r="D581" s="5"/>
      <c r="E581" s="5"/>
      <c r="F581" s="5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</row>
    <row r="582">
      <c r="A582" s="5"/>
      <c r="B582" s="5"/>
      <c r="C582" s="5"/>
      <c r="D582" s="5"/>
      <c r="E582" s="5"/>
      <c r="F582" s="5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</row>
    <row r="583">
      <c r="A583" s="5"/>
      <c r="B583" s="5"/>
      <c r="C583" s="5"/>
      <c r="D583" s="5"/>
      <c r="E583" s="5"/>
      <c r="F583" s="5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</row>
    <row r="584">
      <c r="A584" s="5"/>
      <c r="B584" s="5"/>
      <c r="C584" s="5"/>
      <c r="D584" s="5"/>
      <c r="E584" s="5"/>
      <c r="F584" s="5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</row>
    <row r="585">
      <c r="A585" s="5"/>
      <c r="B585" s="5"/>
      <c r="C585" s="5"/>
      <c r="D585" s="5"/>
      <c r="E585" s="5"/>
      <c r="F585" s="5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</row>
    <row r="586">
      <c r="A586" s="5"/>
      <c r="B586" s="5"/>
      <c r="C586" s="5"/>
      <c r="D586" s="5"/>
      <c r="E586" s="5"/>
      <c r="F586" s="5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</row>
    <row r="587">
      <c r="A587" s="5"/>
      <c r="B587" s="5"/>
      <c r="C587" s="5"/>
      <c r="D587" s="5"/>
      <c r="E587" s="5"/>
      <c r="F587" s="5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</row>
    <row r="588">
      <c r="A588" s="5"/>
      <c r="B588" s="5"/>
      <c r="C588" s="5"/>
      <c r="D588" s="5"/>
      <c r="E588" s="5"/>
      <c r="F588" s="5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</row>
    <row r="589">
      <c r="A589" s="5"/>
      <c r="B589" s="5"/>
      <c r="C589" s="5"/>
      <c r="D589" s="5"/>
      <c r="E589" s="5"/>
      <c r="F589" s="5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</row>
    <row r="590">
      <c r="A590" s="5"/>
      <c r="B590" s="5"/>
      <c r="C590" s="5"/>
      <c r="D590" s="5"/>
      <c r="E590" s="5"/>
      <c r="F590" s="5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</row>
    <row r="591">
      <c r="A591" s="5"/>
      <c r="B591" s="5"/>
      <c r="C591" s="5"/>
      <c r="D591" s="5"/>
      <c r="E591" s="5"/>
      <c r="F591" s="5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</row>
    <row r="592">
      <c r="A592" s="5"/>
      <c r="B592" s="5"/>
      <c r="C592" s="5"/>
      <c r="D592" s="5"/>
      <c r="E592" s="5"/>
      <c r="F592" s="5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</row>
    <row r="593">
      <c r="A593" s="5"/>
      <c r="B593" s="5"/>
      <c r="C593" s="5"/>
      <c r="D593" s="5"/>
      <c r="E593" s="5"/>
      <c r="F593" s="5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</row>
    <row r="594">
      <c r="A594" s="5"/>
      <c r="B594" s="5"/>
      <c r="C594" s="5"/>
      <c r="D594" s="5"/>
      <c r="E594" s="5"/>
      <c r="F594" s="5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</row>
    <row r="595">
      <c r="A595" s="5"/>
      <c r="B595" s="5"/>
      <c r="C595" s="5"/>
      <c r="D595" s="5"/>
      <c r="E595" s="5"/>
      <c r="F595" s="5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</row>
    <row r="596">
      <c r="A596" s="5"/>
      <c r="B596" s="5"/>
      <c r="C596" s="5"/>
      <c r="D596" s="5"/>
      <c r="E596" s="5"/>
      <c r="F596" s="5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</row>
    <row r="597">
      <c r="A597" s="5"/>
      <c r="B597" s="5"/>
      <c r="C597" s="5"/>
      <c r="D597" s="5"/>
      <c r="E597" s="5"/>
      <c r="F597" s="5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</row>
    <row r="598">
      <c r="A598" s="5"/>
      <c r="B598" s="5"/>
      <c r="C598" s="5"/>
      <c r="D598" s="5"/>
      <c r="E598" s="5"/>
      <c r="F598" s="5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</row>
    <row r="599">
      <c r="A599" s="5"/>
      <c r="B599" s="5"/>
      <c r="C599" s="5"/>
      <c r="D599" s="5"/>
      <c r="E599" s="5"/>
      <c r="F599" s="5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</row>
    <row r="600">
      <c r="A600" s="5"/>
      <c r="B600" s="5"/>
      <c r="C600" s="5"/>
      <c r="D600" s="5"/>
      <c r="E600" s="5"/>
      <c r="F600" s="5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</row>
    <row r="601">
      <c r="A601" s="5"/>
      <c r="B601" s="5"/>
      <c r="C601" s="5"/>
      <c r="D601" s="5"/>
      <c r="E601" s="5"/>
      <c r="F601" s="5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</row>
    <row r="602">
      <c r="A602" s="5"/>
      <c r="B602" s="5"/>
      <c r="C602" s="5"/>
      <c r="D602" s="5"/>
      <c r="E602" s="5"/>
      <c r="F602" s="5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</row>
    <row r="603">
      <c r="A603" s="5"/>
      <c r="B603" s="5"/>
      <c r="C603" s="5"/>
      <c r="D603" s="5"/>
      <c r="E603" s="5"/>
      <c r="F603" s="5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</row>
    <row r="604">
      <c r="A604" s="5"/>
      <c r="B604" s="5"/>
      <c r="C604" s="5"/>
      <c r="D604" s="5"/>
      <c r="E604" s="5"/>
      <c r="F604" s="5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</row>
    <row r="605">
      <c r="A605" s="5"/>
      <c r="B605" s="5"/>
      <c r="C605" s="5"/>
      <c r="D605" s="5"/>
      <c r="E605" s="5"/>
      <c r="F605" s="5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</row>
    <row r="606">
      <c r="A606" s="5"/>
      <c r="B606" s="5"/>
      <c r="C606" s="5"/>
      <c r="D606" s="5"/>
      <c r="E606" s="5"/>
      <c r="F606" s="5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</row>
    <row r="607">
      <c r="A607" s="5"/>
      <c r="B607" s="5"/>
      <c r="C607" s="5"/>
      <c r="D607" s="5"/>
      <c r="E607" s="5"/>
      <c r="F607" s="5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</row>
    <row r="608">
      <c r="A608" s="5"/>
      <c r="B608" s="5"/>
      <c r="C608" s="5"/>
      <c r="D608" s="5"/>
      <c r="E608" s="5"/>
      <c r="F608" s="5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</row>
    <row r="609">
      <c r="A609" s="5"/>
      <c r="B609" s="5"/>
      <c r="C609" s="5"/>
      <c r="D609" s="5"/>
      <c r="E609" s="5"/>
      <c r="F609" s="5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</row>
    <row r="610">
      <c r="A610" s="5"/>
      <c r="B610" s="5"/>
      <c r="C610" s="5"/>
      <c r="D610" s="5"/>
      <c r="E610" s="5"/>
      <c r="F610" s="5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</row>
    <row r="611">
      <c r="A611" s="5"/>
      <c r="B611" s="5"/>
      <c r="C611" s="5"/>
      <c r="D611" s="5"/>
      <c r="E611" s="5"/>
      <c r="F611" s="5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</row>
    <row r="612">
      <c r="A612" s="5"/>
      <c r="B612" s="5"/>
      <c r="C612" s="5"/>
      <c r="D612" s="5"/>
      <c r="E612" s="5"/>
      <c r="F612" s="5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</row>
    <row r="613">
      <c r="A613" s="5"/>
      <c r="B613" s="5"/>
      <c r="C613" s="5"/>
      <c r="D613" s="5"/>
      <c r="E613" s="5"/>
      <c r="F613" s="5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</row>
    <row r="614">
      <c r="A614" s="5"/>
      <c r="B614" s="5"/>
      <c r="C614" s="5"/>
      <c r="D614" s="5"/>
      <c r="E614" s="5"/>
      <c r="F614" s="5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</row>
    <row r="615">
      <c r="A615" s="5"/>
      <c r="B615" s="5"/>
      <c r="C615" s="5"/>
      <c r="D615" s="5"/>
      <c r="E615" s="5"/>
      <c r="F615" s="5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</row>
    <row r="616">
      <c r="A616" s="5"/>
      <c r="B616" s="5"/>
      <c r="C616" s="5"/>
      <c r="D616" s="5"/>
      <c r="E616" s="5"/>
      <c r="F616" s="5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</row>
    <row r="617">
      <c r="A617" s="5"/>
      <c r="B617" s="5"/>
      <c r="C617" s="5"/>
      <c r="D617" s="5"/>
      <c r="E617" s="5"/>
      <c r="F617" s="5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</row>
    <row r="618">
      <c r="A618" s="5"/>
      <c r="B618" s="5"/>
      <c r="C618" s="5"/>
      <c r="D618" s="5"/>
      <c r="E618" s="5"/>
      <c r="F618" s="5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</row>
    <row r="619">
      <c r="A619" s="5"/>
      <c r="B619" s="5"/>
      <c r="C619" s="5"/>
      <c r="D619" s="5"/>
      <c r="E619" s="5"/>
      <c r="F619" s="5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</row>
    <row r="620">
      <c r="A620" s="5"/>
      <c r="B620" s="5"/>
      <c r="C620" s="5"/>
      <c r="D620" s="5"/>
      <c r="E620" s="5"/>
      <c r="F620" s="5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</row>
    <row r="621">
      <c r="A621" s="5"/>
      <c r="B621" s="5"/>
      <c r="C621" s="5"/>
      <c r="D621" s="5"/>
      <c r="E621" s="5"/>
      <c r="F621" s="5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</row>
    <row r="622">
      <c r="A622" s="5"/>
      <c r="B622" s="5"/>
      <c r="C622" s="5"/>
      <c r="D622" s="5"/>
      <c r="E622" s="5"/>
      <c r="F622" s="5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</row>
    <row r="623">
      <c r="A623" s="5"/>
      <c r="B623" s="5"/>
      <c r="C623" s="5"/>
      <c r="D623" s="5"/>
      <c r="E623" s="5"/>
      <c r="F623" s="5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</row>
    <row r="624">
      <c r="A624" s="5"/>
      <c r="B624" s="5"/>
      <c r="C624" s="5"/>
      <c r="D624" s="5"/>
      <c r="E624" s="5"/>
      <c r="F624" s="5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</row>
    <row r="625">
      <c r="A625" s="5"/>
      <c r="B625" s="5"/>
      <c r="C625" s="5"/>
      <c r="D625" s="5"/>
      <c r="E625" s="5"/>
      <c r="F625" s="5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</row>
    <row r="626">
      <c r="A626" s="5"/>
      <c r="B626" s="5"/>
      <c r="C626" s="5"/>
      <c r="D626" s="5"/>
      <c r="E626" s="5"/>
      <c r="F626" s="5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</row>
    <row r="627">
      <c r="A627" s="5"/>
      <c r="B627" s="5"/>
      <c r="C627" s="5"/>
      <c r="D627" s="5"/>
      <c r="E627" s="5"/>
      <c r="F627" s="5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</row>
    <row r="628">
      <c r="A628" s="5"/>
      <c r="B628" s="5"/>
      <c r="C628" s="5"/>
      <c r="D628" s="5"/>
      <c r="E628" s="5"/>
      <c r="F628" s="5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</row>
    <row r="629">
      <c r="A629" s="5"/>
      <c r="B629" s="5"/>
      <c r="C629" s="5"/>
      <c r="D629" s="5"/>
      <c r="E629" s="5"/>
      <c r="F629" s="5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</row>
    <row r="630">
      <c r="A630" s="5"/>
      <c r="B630" s="5"/>
      <c r="C630" s="5"/>
      <c r="D630" s="5"/>
      <c r="E630" s="5"/>
      <c r="F630" s="5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</row>
    <row r="631">
      <c r="A631" s="5"/>
      <c r="B631" s="5"/>
      <c r="C631" s="5"/>
      <c r="D631" s="5"/>
      <c r="E631" s="5"/>
      <c r="F631" s="5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</row>
    <row r="632">
      <c r="A632" s="5"/>
      <c r="B632" s="5"/>
      <c r="C632" s="5"/>
      <c r="D632" s="5"/>
      <c r="E632" s="5"/>
      <c r="F632" s="5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</row>
    <row r="633">
      <c r="A633" s="5"/>
      <c r="B633" s="5"/>
      <c r="C633" s="5"/>
      <c r="D633" s="5"/>
      <c r="E633" s="5"/>
      <c r="F633" s="5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</row>
    <row r="634">
      <c r="A634" s="5"/>
      <c r="B634" s="5"/>
      <c r="C634" s="5"/>
      <c r="D634" s="5"/>
      <c r="E634" s="5"/>
      <c r="F634" s="5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</row>
    <row r="635">
      <c r="A635" s="5"/>
      <c r="B635" s="5"/>
      <c r="C635" s="5"/>
      <c r="D635" s="5"/>
      <c r="E635" s="5"/>
      <c r="F635" s="5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</row>
    <row r="636">
      <c r="A636" s="5"/>
      <c r="B636" s="5"/>
      <c r="C636" s="5"/>
      <c r="D636" s="5"/>
      <c r="E636" s="5"/>
      <c r="F636" s="5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</row>
    <row r="637">
      <c r="A637" s="5"/>
      <c r="B637" s="5"/>
      <c r="C637" s="5"/>
      <c r="D637" s="5"/>
      <c r="E637" s="5"/>
      <c r="F637" s="5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</row>
    <row r="638">
      <c r="A638" s="5"/>
      <c r="B638" s="5"/>
      <c r="C638" s="5"/>
      <c r="D638" s="5"/>
      <c r="E638" s="5"/>
      <c r="F638" s="5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</row>
    <row r="639">
      <c r="A639" s="5"/>
      <c r="B639" s="5"/>
      <c r="C639" s="5"/>
      <c r="D639" s="5"/>
      <c r="E639" s="5"/>
      <c r="F639" s="5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</row>
    <row r="640">
      <c r="A640" s="5"/>
      <c r="B640" s="5"/>
      <c r="C640" s="5"/>
      <c r="D640" s="5"/>
      <c r="E640" s="5"/>
      <c r="F640" s="5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</row>
    <row r="641">
      <c r="A641" s="5"/>
      <c r="B641" s="5"/>
      <c r="C641" s="5"/>
      <c r="D641" s="5"/>
      <c r="E641" s="5"/>
      <c r="F641" s="5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</row>
    <row r="642">
      <c r="A642" s="5"/>
      <c r="B642" s="5"/>
      <c r="C642" s="5"/>
      <c r="D642" s="5"/>
      <c r="E642" s="5"/>
      <c r="F642" s="5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</row>
    <row r="643">
      <c r="A643" s="5"/>
      <c r="B643" s="5"/>
      <c r="C643" s="5"/>
      <c r="D643" s="5"/>
      <c r="E643" s="5"/>
      <c r="F643" s="5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</row>
    <row r="644">
      <c r="A644" s="5"/>
      <c r="B644" s="5"/>
      <c r="C644" s="5"/>
      <c r="D644" s="5"/>
      <c r="E644" s="5"/>
      <c r="F644" s="5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</row>
    <row r="645">
      <c r="A645" s="5"/>
      <c r="B645" s="5"/>
      <c r="C645" s="5"/>
      <c r="D645" s="5"/>
      <c r="E645" s="5"/>
      <c r="F645" s="5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</row>
    <row r="646">
      <c r="A646" s="5"/>
      <c r="B646" s="5"/>
      <c r="C646" s="5"/>
      <c r="D646" s="5"/>
      <c r="E646" s="5"/>
      <c r="F646" s="5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</row>
    <row r="647">
      <c r="A647" s="5"/>
      <c r="B647" s="5"/>
      <c r="C647" s="5"/>
      <c r="D647" s="5"/>
      <c r="E647" s="5"/>
      <c r="F647" s="5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</row>
    <row r="648">
      <c r="A648" s="5"/>
      <c r="B648" s="5"/>
      <c r="C648" s="5"/>
      <c r="D648" s="5"/>
      <c r="E648" s="5"/>
      <c r="F648" s="5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</row>
    <row r="649">
      <c r="A649" s="5"/>
      <c r="B649" s="5"/>
      <c r="C649" s="5"/>
      <c r="D649" s="5"/>
      <c r="E649" s="5"/>
      <c r="F649" s="5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</row>
    <row r="650">
      <c r="A650" s="5"/>
      <c r="B650" s="5"/>
      <c r="C650" s="5"/>
      <c r="D650" s="5"/>
      <c r="E650" s="5"/>
      <c r="F650" s="5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</row>
    <row r="651">
      <c r="A651" s="5"/>
      <c r="B651" s="5"/>
      <c r="C651" s="5"/>
      <c r="D651" s="5"/>
      <c r="E651" s="5"/>
      <c r="F651" s="5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</row>
    <row r="652">
      <c r="A652" s="5"/>
      <c r="B652" s="5"/>
      <c r="C652" s="5"/>
      <c r="D652" s="5"/>
      <c r="E652" s="5"/>
      <c r="F652" s="5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</row>
    <row r="653">
      <c r="A653" s="5"/>
      <c r="B653" s="5"/>
      <c r="C653" s="5"/>
      <c r="D653" s="5"/>
      <c r="E653" s="5"/>
      <c r="F653" s="5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</row>
    <row r="654">
      <c r="A654" s="5"/>
      <c r="B654" s="5"/>
      <c r="C654" s="5"/>
      <c r="D654" s="5"/>
      <c r="E654" s="5"/>
      <c r="F654" s="5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</row>
    <row r="655">
      <c r="A655" s="5"/>
      <c r="B655" s="5"/>
      <c r="C655" s="5"/>
      <c r="D655" s="5"/>
      <c r="E655" s="5"/>
      <c r="F655" s="5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</row>
    <row r="656">
      <c r="A656" s="5"/>
      <c r="B656" s="5"/>
      <c r="C656" s="5"/>
      <c r="D656" s="5"/>
      <c r="E656" s="5"/>
      <c r="F656" s="5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</row>
    <row r="657">
      <c r="A657" s="5"/>
      <c r="B657" s="5"/>
      <c r="C657" s="5"/>
      <c r="D657" s="5"/>
      <c r="E657" s="5"/>
      <c r="F657" s="5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</row>
    <row r="658">
      <c r="A658" s="5"/>
      <c r="B658" s="5"/>
      <c r="C658" s="5"/>
      <c r="D658" s="5"/>
      <c r="E658" s="5"/>
      <c r="F658" s="5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</row>
    <row r="659">
      <c r="A659" s="5"/>
      <c r="B659" s="5"/>
      <c r="C659" s="5"/>
      <c r="D659" s="5"/>
      <c r="E659" s="5"/>
      <c r="F659" s="5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</row>
    <row r="660">
      <c r="A660" s="5"/>
      <c r="B660" s="5"/>
      <c r="C660" s="5"/>
      <c r="D660" s="5"/>
      <c r="E660" s="5"/>
      <c r="F660" s="5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</row>
    <row r="661">
      <c r="A661" s="5"/>
      <c r="B661" s="5"/>
      <c r="C661" s="5"/>
      <c r="D661" s="5"/>
      <c r="E661" s="5"/>
      <c r="F661" s="5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</row>
    <row r="662">
      <c r="A662" s="5"/>
      <c r="B662" s="5"/>
      <c r="C662" s="5"/>
      <c r="D662" s="5"/>
      <c r="E662" s="5"/>
      <c r="F662" s="5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</row>
    <row r="663">
      <c r="A663" s="5"/>
      <c r="B663" s="5"/>
      <c r="C663" s="5"/>
      <c r="D663" s="5"/>
      <c r="E663" s="5"/>
      <c r="F663" s="5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</row>
    <row r="664">
      <c r="A664" s="5"/>
      <c r="B664" s="5"/>
      <c r="C664" s="5"/>
      <c r="D664" s="5"/>
      <c r="E664" s="5"/>
      <c r="F664" s="5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</row>
    <row r="665">
      <c r="A665" s="5"/>
      <c r="B665" s="5"/>
      <c r="C665" s="5"/>
      <c r="D665" s="5"/>
      <c r="E665" s="5"/>
      <c r="F665" s="5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</row>
    <row r="666">
      <c r="A666" s="5"/>
      <c r="B666" s="5"/>
      <c r="C666" s="5"/>
      <c r="D666" s="5"/>
      <c r="E666" s="5"/>
      <c r="F666" s="5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</row>
    <row r="667">
      <c r="A667" s="5"/>
      <c r="B667" s="5"/>
      <c r="C667" s="5"/>
      <c r="D667" s="5"/>
      <c r="E667" s="5"/>
      <c r="F667" s="5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</row>
    <row r="668">
      <c r="A668" s="5"/>
      <c r="B668" s="5"/>
      <c r="C668" s="5"/>
      <c r="D668" s="5"/>
      <c r="E668" s="5"/>
      <c r="F668" s="5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</row>
    <row r="669">
      <c r="A669" s="5"/>
      <c r="B669" s="5"/>
      <c r="C669" s="5"/>
      <c r="D669" s="5"/>
      <c r="E669" s="5"/>
      <c r="F669" s="5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</row>
    <row r="670">
      <c r="A670" s="5"/>
      <c r="B670" s="5"/>
      <c r="C670" s="5"/>
      <c r="D670" s="5"/>
      <c r="E670" s="5"/>
      <c r="F670" s="5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</row>
    <row r="671">
      <c r="A671" s="5"/>
      <c r="B671" s="5"/>
      <c r="C671" s="5"/>
      <c r="D671" s="5"/>
      <c r="E671" s="5"/>
      <c r="F671" s="5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</row>
    <row r="672">
      <c r="A672" s="5"/>
      <c r="B672" s="5"/>
      <c r="C672" s="5"/>
      <c r="D672" s="5"/>
      <c r="E672" s="5"/>
      <c r="F672" s="5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</row>
    <row r="673">
      <c r="A673" s="5"/>
      <c r="B673" s="5"/>
      <c r="C673" s="5"/>
      <c r="D673" s="5"/>
      <c r="E673" s="5"/>
      <c r="F673" s="5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</row>
    <row r="674">
      <c r="A674" s="5"/>
      <c r="B674" s="5"/>
      <c r="C674" s="5"/>
      <c r="D674" s="5"/>
      <c r="E674" s="5"/>
      <c r="F674" s="5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</row>
    <row r="675">
      <c r="A675" s="5"/>
      <c r="B675" s="5"/>
      <c r="C675" s="5"/>
      <c r="D675" s="5"/>
      <c r="E675" s="5"/>
      <c r="F675" s="5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</row>
    <row r="676">
      <c r="A676" s="5"/>
      <c r="B676" s="5"/>
      <c r="C676" s="5"/>
      <c r="D676" s="5"/>
      <c r="E676" s="5"/>
      <c r="F676" s="5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</row>
    <row r="677">
      <c r="A677" s="5"/>
      <c r="B677" s="5"/>
      <c r="C677" s="5"/>
      <c r="D677" s="5"/>
      <c r="E677" s="5"/>
      <c r="F677" s="5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</row>
    <row r="678">
      <c r="A678" s="5"/>
      <c r="B678" s="5"/>
      <c r="C678" s="5"/>
      <c r="D678" s="5"/>
      <c r="E678" s="5"/>
      <c r="F678" s="5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</row>
    <row r="679">
      <c r="A679" s="5"/>
      <c r="B679" s="5"/>
      <c r="C679" s="5"/>
      <c r="D679" s="5"/>
      <c r="E679" s="5"/>
      <c r="F679" s="5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</row>
    <row r="680">
      <c r="A680" s="5"/>
      <c r="B680" s="5"/>
      <c r="C680" s="5"/>
      <c r="D680" s="5"/>
      <c r="E680" s="5"/>
      <c r="F680" s="5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</row>
    <row r="681">
      <c r="A681" s="5"/>
      <c r="B681" s="5"/>
      <c r="C681" s="5"/>
      <c r="D681" s="5"/>
      <c r="E681" s="5"/>
      <c r="F681" s="5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</row>
    <row r="682">
      <c r="A682" s="5"/>
      <c r="B682" s="5"/>
      <c r="C682" s="5"/>
      <c r="D682" s="5"/>
      <c r="E682" s="5"/>
      <c r="F682" s="5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</row>
    <row r="683">
      <c r="A683" s="5"/>
      <c r="B683" s="5"/>
      <c r="C683" s="5"/>
      <c r="D683" s="5"/>
      <c r="E683" s="5"/>
      <c r="F683" s="5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</row>
    <row r="684">
      <c r="A684" s="5"/>
      <c r="B684" s="5"/>
      <c r="C684" s="5"/>
      <c r="D684" s="5"/>
      <c r="E684" s="5"/>
      <c r="F684" s="5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</row>
    <row r="685">
      <c r="A685" s="5"/>
      <c r="B685" s="5"/>
      <c r="C685" s="5"/>
      <c r="D685" s="5"/>
      <c r="E685" s="5"/>
      <c r="F685" s="5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</row>
    <row r="686">
      <c r="A686" s="5"/>
      <c r="B686" s="5"/>
      <c r="C686" s="5"/>
      <c r="D686" s="5"/>
      <c r="E686" s="5"/>
      <c r="F686" s="5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</row>
    <row r="687">
      <c r="A687" s="5"/>
      <c r="B687" s="5"/>
      <c r="C687" s="5"/>
      <c r="D687" s="5"/>
      <c r="E687" s="5"/>
      <c r="F687" s="5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</row>
    <row r="688">
      <c r="A688" s="5"/>
      <c r="B688" s="5"/>
      <c r="C688" s="5"/>
      <c r="D688" s="5"/>
      <c r="E688" s="5"/>
      <c r="F688" s="5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</row>
    <row r="689">
      <c r="A689" s="5"/>
      <c r="B689" s="5"/>
      <c r="C689" s="5"/>
      <c r="D689" s="5"/>
      <c r="E689" s="5"/>
      <c r="F689" s="5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</row>
    <row r="690">
      <c r="A690" s="5"/>
      <c r="B690" s="5"/>
      <c r="C690" s="5"/>
      <c r="D690" s="5"/>
      <c r="E690" s="5"/>
      <c r="F690" s="5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</row>
    <row r="691">
      <c r="A691" s="5"/>
      <c r="B691" s="5"/>
      <c r="C691" s="5"/>
      <c r="D691" s="5"/>
      <c r="E691" s="5"/>
      <c r="F691" s="5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</row>
    <row r="692">
      <c r="A692" s="5"/>
      <c r="B692" s="5"/>
      <c r="C692" s="5"/>
      <c r="D692" s="5"/>
      <c r="E692" s="5"/>
      <c r="F692" s="5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</row>
    <row r="693">
      <c r="A693" s="5"/>
      <c r="B693" s="5"/>
      <c r="C693" s="5"/>
      <c r="D693" s="5"/>
      <c r="E693" s="5"/>
      <c r="F693" s="5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</row>
    <row r="694">
      <c r="A694" s="5"/>
      <c r="B694" s="5"/>
      <c r="C694" s="5"/>
      <c r="D694" s="5"/>
      <c r="E694" s="5"/>
      <c r="F694" s="5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</row>
    <row r="695">
      <c r="A695" s="5"/>
      <c r="B695" s="5"/>
      <c r="C695" s="5"/>
      <c r="D695" s="5"/>
      <c r="E695" s="5"/>
      <c r="F695" s="5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</row>
    <row r="696">
      <c r="A696" s="5"/>
      <c r="B696" s="5"/>
      <c r="C696" s="5"/>
      <c r="D696" s="5"/>
      <c r="E696" s="5"/>
      <c r="F696" s="5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</row>
    <row r="697">
      <c r="A697" s="5"/>
      <c r="B697" s="5"/>
      <c r="C697" s="5"/>
      <c r="D697" s="5"/>
      <c r="E697" s="5"/>
      <c r="F697" s="5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</row>
    <row r="698">
      <c r="A698" s="5"/>
      <c r="B698" s="5"/>
      <c r="C698" s="5"/>
      <c r="D698" s="5"/>
      <c r="E698" s="5"/>
      <c r="F698" s="5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</row>
    <row r="699">
      <c r="A699" s="5"/>
      <c r="B699" s="5"/>
      <c r="C699" s="5"/>
      <c r="D699" s="5"/>
      <c r="E699" s="5"/>
      <c r="F699" s="5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</row>
    <row r="700">
      <c r="A700" s="5"/>
      <c r="B700" s="5"/>
      <c r="C700" s="5"/>
      <c r="D700" s="5"/>
      <c r="E700" s="5"/>
      <c r="F700" s="5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</row>
    <row r="701">
      <c r="A701" s="5"/>
      <c r="B701" s="5"/>
      <c r="C701" s="5"/>
      <c r="D701" s="5"/>
      <c r="E701" s="5"/>
      <c r="F701" s="5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</row>
    <row r="702">
      <c r="A702" s="5"/>
      <c r="B702" s="5"/>
      <c r="C702" s="5"/>
      <c r="D702" s="5"/>
      <c r="E702" s="5"/>
      <c r="F702" s="5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</row>
    <row r="703">
      <c r="A703" s="5"/>
      <c r="B703" s="5"/>
      <c r="C703" s="5"/>
      <c r="D703" s="5"/>
      <c r="E703" s="5"/>
      <c r="F703" s="5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</row>
    <row r="704">
      <c r="A704" s="5"/>
      <c r="B704" s="5"/>
      <c r="C704" s="5"/>
      <c r="D704" s="5"/>
      <c r="E704" s="5"/>
      <c r="F704" s="5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</row>
    <row r="705">
      <c r="A705" s="5"/>
      <c r="B705" s="5"/>
      <c r="C705" s="5"/>
      <c r="D705" s="5"/>
      <c r="E705" s="5"/>
      <c r="F705" s="5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</row>
    <row r="706">
      <c r="A706" s="5"/>
      <c r="B706" s="5"/>
      <c r="C706" s="5"/>
      <c r="D706" s="5"/>
      <c r="E706" s="5"/>
      <c r="F706" s="5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</row>
    <row r="707">
      <c r="A707" s="5"/>
      <c r="B707" s="5"/>
      <c r="C707" s="5"/>
      <c r="D707" s="5"/>
      <c r="E707" s="5"/>
      <c r="F707" s="5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</row>
    <row r="708">
      <c r="A708" s="5"/>
      <c r="B708" s="5"/>
      <c r="C708" s="5"/>
      <c r="D708" s="5"/>
      <c r="E708" s="5"/>
      <c r="F708" s="5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</row>
    <row r="709">
      <c r="A709" s="5"/>
      <c r="B709" s="5"/>
      <c r="C709" s="5"/>
      <c r="D709" s="5"/>
      <c r="E709" s="5"/>
      <c r="F709" s="5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</row>
    <row r="710">
      <c r="A710" s="5"/>
      <c r="B710" s="5"/>
      <c r="C710" s="5"/>
      <c r="D710" s="5"/>
      <c r="E710" s="5"/>
      <c r="F710" s="5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</row>
    <row r="711">
      <c r="A711" s="5"/>
      <c r="B711" s="5"/>
      <c r="C711" s="5"/>
      <c r="D711" s="5"/>
      <c r="E711" s="5"/>
      <c r="F711" s="5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</row>
    <row r="712">
      <c r="A712" s="5"/>
      <c r="B712" s="5"/>
      <c r="C712" s="5"/>
      <c r="D712" s="5"/>
      <c r="E712" s="5"/>
      <c r="F712" s="5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</row>
    <row r="713">
      <c r="A713" s="5"/>
      <c r="B713" s="5"/>
      <c r="C713" s="5"/>
      <c r="D713" s="5"/>
      <c r="E713" s="5"/>
      <c r="F713" s="5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</row>
    <row r="714">
      <c r="A714" s="5"/>
      <c r="B714" s="5"/>
      <c r="C714" s="5"/>
      <c r="D714" s="5"/>
      <c r="E714" s="5"/>
      <c r="F714" s="5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</row>
    <row r="715">
      <c r="A715" s="5"/>
      <c r="B715" s="5"/>
      <c r="C715" s="5"/>
      <c r="D715" s="5"/>
      <c r="E715" s="5"/>
      <c r="F715" s="5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</row>
    <row r="716">
      <c r="A716" s="5"/>
      <c r="B716" s="5"/>
      <c r="C716" s="5"/>
      <c r="D716" s="5"/>
      <c r="E716" s="5"/>
      <c r="F716" s="5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</row>
    <row r="717">
      <c r="A717" s="5"/>
      <c r="B717" s="5"/>
      <c r="C717" s="5"/>
      <c r="D717" s="5"/>
      <c r="E717" s="5"/>
      <c r="F717" s="5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</row>
    <row r="718">
      <c r="A718" s="5"/>
      <c r="B718" s="5"/>
      <c r="C718" s="5"/>
      <c r="D718" s="5"/>
      <c r="E718" s="5"/>
      <c r="F718" s="5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</row>
    <row r="719">
      <c r="A719" s="5"/>
      <c r="B719" s="5"/>
      <c r="C719" s="5"/>
      <c r="D719" s="5"/>
      <c r="E719" s="5"/>
      <c r="F719" s="5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</row>
    <row r="720">
      <c r="A720" s="5"/>
      <c r="B720" s="5"/>
      <c r="C720" s="5"/>
      <c r="D720" s="5"/>
      <c r="E720" s="5"/>
      <c r="F720" s="5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</row>
    <row r="721">
      <c r="A721" s="5"/>
      <c r="B721" s="5"/>
      <c r="C721" s="5"/>
      <c r="D721" s="5"/>
      <c r="E721" s="5"/>
      <c r="F721" s="5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</row>
    <row r="722">
      <c r="A722" s="5"/>
      <c r="B722" s="5"/>
      <c r="C722" s="5"/>
      <c r="D722" s="5"/>
      <c r="E722" s="5"/>
      <c r="F722" s="5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</row>
    <row r="723">
      <c r="A723" s="5"/>
      <c r="B723" s="5"/>
      <c r="C723" s="5"/>
      <c r="D723" s="5"/>
      <c r="E723" s="5"/>
      <c r="F723" s="5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</row>
    <row r="724">
      <c r="A724" s="5"/>
      <c r="B724" s="5"/>
      <c r="C724" s="5"/>
      <c r="D724" s="5"/>
      <c r="E724" s="5"/>
      <c r="F724" s="5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</row>
    <row r="725">
      <c r="A725" s="5"/>
      <c r="B725" s="5"/>
      <c r="C725" s="5"/>
      <c r="D725" s="5"/>
      <c r="E725" s="5"/>
      <c r="F725" s="5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</row>
    <row r="726">
      <c r="A726" s="5"/>
      <c r="B726" s="5"/>
      <c r="C726" s="5"/>
      <c r="D726" s="5"/>
      <c r="E726" s="5"/>
      <c r="F726" s="5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</row>
    <row r="727">
      <c r="A727" s="5"/>
      <c r="B727" s="5"/>
      <c r="C727" s="5"/>
      <c r="D727" s="5"/>
      <c r="E727" s="5"/>
      <c r="F727" s="5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</row>
    <row r="728">
      <c r="A728" s="5"/>
      <c r="B728" s="5"/>
      <c r="C728" s="5"/>
      <c r="D728" s="5"/>
      <c r="E728" s="5"/>
      <c r="F728" s="5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</row>
    <row r="729">
      <c r="A729" s="5"/>
      <c r="B729" s="5"/>
      <c r="C729" s="5"/>
      <c r="D729" s="5"/>
      <c r="E729" s="5"/>
      <c r="F729" s="5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</row>
    <row r="730">
      <c r="A730" s="5"/>
      <c r="B730" s="5"/>
      <c r="C730" s="5"/>
      <c r="D730" s="5"/>
      <c r="E730" s="5"/>
      <c r="F730" s="5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</row>
    <row r="731">
      <c r="A731" s="5"/>
      <c r="B731" s="5"/>
      <c r="C731" s="5"/>
      <c r="D731" s="5"/>
      <c r="E731" s="5"/>
      <c r="F731" s="5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</row>
    <row r="732">
      <c r="A732" s="5"/>
      <c r="B732" s="5"/>
      <c r="C732" s="5"/>
      <c r="D732" s="5"/>
      <c r="E732" s="5"/>
      <c r="F732" s="5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</row>
    <row r="733">
      <c r="A733" s="5"/>
      <c r="B733" s="5"/>
      <c r="C733" s="5"/>
      <c r="D733" s="5"/>
      <c r="E733" s="5"/>
      <c r="F733" s="5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</row>
  </sheetData>
  <drawing r:id="rId1"/>
</worksheet>
</file>